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2435" windowHeight="7500" activeTab="15"/>
  </bookViews>
  <sheets>
    <sheet name="rakord" sheetId="1" r:id="rId1"/>
    <sheet name="dokren" sheetId="2" r:id="rId2"/>
    <sheet name="alatktr" sheetId="3" r:id="rId3"/>
    <sheet name="bangunan" sheetId="4" r:id="rId4"/>
    <sheet name="kendaraan" sheetId="6" r:id="rId5"/>
    <sheet name="bimtek" sheetId="7" r:id="rId6"/>
    <sheet name="rekrut" sheetId="9" r:id="rId7"/>
    <sheet name="karir" sheetId="10" r:id="rId8"/>
    <sheet name="data" sheetId="11" r:id="rId9"/>
    <sheet name="ac" sheetId="12" r:id="rId10"/>
    <sheet name="tatausaha" sheetId="13" r:id="rId11"/>
    <sheet name="kesra" sheetId="14" r:id="rId12"/>
    <sheet name="mutasi" sheetId="15" r:id="rId13"/>
    <sheet name="diklat" sheetId="16" r:id="rId14"/>
    <sheet name="ppd" sheetId="17" r:id="rId15"/>
    <sheet name="akd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1Excel_BuiltIn_Print_Titles_2_1_1">#REF!</definedName>
    <definedName name="___2Excel_BuiltIn_Print_Titles_3_1_1">#REF!</definedName>
    <definedName name="___3Excel_BuiltIn_Print_Titles_4_1">#REF!</definedName>
    <definedName name="__1__Excel_BuiltIn_Print_Titles_3_1_1" localSheetId="13">#REF!</definedName>
    <definedName name="__1__Excel_BuiltIn_Print_Titles_3_1_1" localSheetId="4">#REF!</definedName>
    <definedName name="__1__Excel_BuiltIn_Print_Titles_3_1_1" localSheetId="0">#REF!</definedName>
    <definedName name="__1__Excel_BuiltIn_Print_Titles_3_1_1" localSheetId="6">#REF!</definedName>
    <definedName name="__1__Excel_BuiltIn_Print_Titles_3_1_1">#REF!</definedName>
    <definedName name="__1Excel_BuiltIn_Print_Titles_2_1_1">#REF!</definedName>
    <definedName name="__2_Excel_BuiltIn_Print_Titles_4_1" localSheetId="13">#REF!</definedName>
    <definedName name="__2_Excel_BuiltIn_Print_Titles_4_1" localSheetId="4">#REF!</definedName>
    <definedName name="__2_Excel_BuiltIn_Print_Titles_4_1" localSheetId="0">#REF!</definedName>
    <definedName name="__2_Excel_BuiltIn_Print_Titles_4_1" localSheetId="6">#REF!</definedName>
    <definedName name="__2_Excel_BuiltIn_Print_Titles_4_1">#REF!</definedName>
    <definedName name="__2Excel_BuiltIn_Print_Titles_3_1_1">#REF!</definedName>
    <definedName name="__3Excel_BuiltIn_Print_Titles_4_1">#REF!</definedName>
    <definedName name="__6Excel_BuiltIn_Print_Titles_4_1">#REF!</definedName>
    <definedName name="_1__Excel_BuiltIn_Print_Titles_3_1_1" localSheetId="13">#REF!</definedName>
    <definedName name="_1__Excel_BuiltIn_Print_Titles_3_1_1" localSheetId="4">#REF!</definedName>
    <definedName name="_1__Excel_BuiltIn_Print_Titles_3_1_1" localSheetId="0">#REF!</definedName>
    <definedName name="_1__Excel_BuiltIn_Print_Titles_3_1_1" localSheetId="6">#REF!</definedName>
    <definedName name="_1__Excel_BuiltIn_Print_Titles_3_1_1">#REF!</definedName>
    <definedName name="_1_Excel_BuiltIn_Print_Titles_2_1_1" localSheetId="13">#REF!</definedName>
    <definedName name="_1_Excel_BuiltIn_Print_Titles_2_1_1">#REF!</definedName>
    <definedName name="_1Excel_BuiltIn_Print_Area_6_1" localSheetId="13">#REF!</definedName>
    <definedName name="_1Excel_BuiltIn_Print_Area_6_1" localSheetId="4">#REF!</definedName>
    <definedName name="_1Excel_BuiltIn_Print_Area_6_1" localSheetId="11">#REF!</definedName>
    <definedName name="_1Excel_BuiltIn_Print_Area_6_1" localSheetId="0">#REF!</definedName>
    <definedName name="_1Excel_BuiltIn_Print_Area_6_1" localSheetId="6">#REF!</definedName>
    <definedName name="_1Excel_BuiltIn_Print_Area_6_1">#REF!</definedName>
    <definedName name="_1Excel_BuiltIn_Print_Titles_2_1_1" localSheetId="11">#REF!</definedName>
    <definedName name="_1Excel_BuiltIn_Print_Titles_2_1_1">#REF!</definedName>
    <definedName name="_2_Excel_BuiltIn_Print_Titles_3_1_1" localSheetId="13">#REF!</definedName>
    <definedName name="_2_Excel_BuiltIn_Print_Titles_3_1_1">#REF!</definedName>
    <definedName name="_2_Excel_BuiltIn_Print_Titles_4_1" localSheetId="13">#REF!</definedName>
    <definedName name="_2_Excel_BuiltIn_Print_Titles_4_1" localSheetId="4">#REF!</definedName>
    <definedName name="_2_Excel_BuiltIn_Print_Titles_4_1" localSheetId="0">#REF!</definedName>
    <definedName name="_2_Excel_BuiltIn_Print_Titles_4_1" localSheetId="6">#REF!</definedName>
    <definedName name="_2_Excel_BuiltIn_Print_Titles_4_1">#REF!</definedName>
    <definedName name="_2Excel_BuiltIn_Print_Titles_2_1_1" localSheetId="13">#REF!</definedName>
    <definedName name="_2Excel_BuiltIn_Print_Titles_2_1_1" localSheetId="4">#REF!</definedName>
    <definedName name="_2Excel_BuiltIn_Print_Titles_2_1_1" localSheetId="11">#REF!</definedName>
    <definedName name="_2Excel_BuiltIn_Print_Titles_2_1_1" localSheetId="0">#REF!</definedName>
    <definedName name="_2Excel_BuiltIn_Print_Titles_2_1_1" localSheetId="6">#REF!</definedName>
    <definedName name="_2Excel_BuiltIn_Print_Titles_2_1_1">#REF!</definedName>
    <definedName name="_2Excel_BuiltIn_Print_Titles_3_1_1" localSheetId="11">#REF!</definedName>
    <definedName name="_2Excel_BuiltIn_Print_Titles_3_1_1">#REF!</definedName>
    <definedName name="_3_Excel_BuiltIn_Print_Titles_4_1" localSheetId="13">#REF!</definedName>
    <definedName name="_3_Excel_BuiltIn_Print_Titles_4_1">#REF!</definedName>
    <definedName name="_3Excel_BuiltIn_Print_Titles_4_1" localSheetId="11">#REF!</definedName>
    <definedName name="_3Excel_BuiltIn_Print_Titles_4_1">#REF!</definedName>
    <definedName name="_4_Excel_BuiltIn_Print_Titles_4_1" localSheetId="13">#REF!</definedName>
    <definedName name="_4_Excel_BuiltIn_Print_Titles_4_1" localSheetId="4">#REF!</definedName>
    <definedName name="_4_Excel_BuiltIn_Print_Titles_4_1" localSheetId="0">#REF!</definedName>
    <definedName name="_4_Excel_BuiltIn_Print_Titles_4_1" localSheetId="6">#REF!</definedName>
    <definedName name="_4_Excel_BuiltIn_Print_Titles_4_1">#REF!</definedName>
    <definedName name="_4Excel_BuiltIn_Print_Titles_2_1_1" localSheetId="13">#REF!</definedName>
    <definedName name="_4Excel_BuiltIn_Print_Titles_2_1_1">#REF!</definedName>
    <definedName name="_4Excel_BuiltIn_Print_Titles_3_1_1" localSheetId="13">#REF!</definedName>
    <definedName name="_4Excel_BuiltIn_Print_Titles_3_1_1" localSheetId="4">#REF!</definedName>
    <definedName name="_4Excel_BuiltIn_Print_Titles_3_1_1" localSheetId="11">#REF!</definedName>
    <definedName name="_4Excel_BuiltIn_Print_Titles_3_1_1" localSheetId="0">#REF!</definedName>
    <definedName name="_4Excel_BuiltIn_Print_Titles_3_1_1" localSheetId="6">#REF!</definedName>
    <definedName name="_4Excel_BuiltIn_Print_Titles_3_1_1">#REF!</definedName>
    <definedName name="_5Excel_BuiltIn_Print_Titles_3_1_1" localSheetId="13">#REF!</definedName>
    <definedName name="_5Excel_BuiltIn_Print_Titles_3_1_1">#REF!</definedName>
    <definedName name="_6Excel_BuiltIn_Print_Titles_4_1" localSheetId="13">#REF!</definedName>
    <definedName name="_6Excel_BuiltIn_Print_Titles_4_1" localSheetId="4">#REF!</definedName>
    <definedName name="_6Excel_BuiltIn_Print_Titles_4_1" localSheetId="11">#REF!</definedName>
    <definedName name="_6Excel_BuiltIn_Print_Titles_4_1" localSheetId="0">#REF!</definedName>
    <definedName name="_6Excel_BuiltIn_Print_Titles_4_1" localSheetId="6">#REF!</definedName>
    <definedName name="_6Excel_BuiltIn_Print_Titles_4_1">#REF!</definedName>
    <definedName name="a" localSheetId="11">#REF!</definedName>
    <definedName name="a">#REF!</definedName>
    <definedName name="bank" localSheetId="13">#REF!</definedName>
    <definedName name="bank" localSheetId="4">#REF!</definedName>
    <definedName name="bank" localSheetId="11">#REF!</definedName>
    <definedName name="bank" localSheetId="0">#REF!</definedName>
    <definedName name="bank" localSheetId="6">#REF!</definedName>
    <definedName name="bank">#REF!</definedName>
    <definedName name="D" localSheetId="11">#REF!</definedName>
    <definedName name="D">#REF!</definedName>
    <definedName name="edit">#REF!</definedName>
    <definedName name="Excel_BuiltIn_Print_Area_1" localSheetId="13">#REF!</definedName>
    <definedName name="Excel_BuiltIn_Print_Area_1" localSheetId="4">#REF!</definedName>
    <definedName name="Excel_BuiltIn_Print_Area_1" localSheetId="11">#REF!</definedName>
    <definedName name="Excel_BuiltIn_Print_Area_1" localSheetId="0">#REF!</definedName>
    <definedName name="Excel_BuiltIn_Print_Area_1" localSheetId="6">#REF!</definedName>
    <definedName name="Excel_BuiltIn_Print_Area_1">#REF!</definedName>
    <definedName name="Excel_BuiltIn_Print_Area_10" localSheetId="13">#REF!</definedName>
    <definedName name="Excel_BuiltIn_Print_Area_10" localSheetId="4">#REF!</definedName>
    <definedName name="Excel_BuiltIn_Print_Area_10" localSheetId="11">#REF!</definedName>
    <definedName name="Excel_BuiltIn_Print_Area_10" localSheetId="0">#REF!</definedName>
    <definedName name="Excel_BuiltIn_Print_Area_10" localSheetId="6">#REF!</definedName>
    <definedName name="Excel_BuiltIn_Print_Area_10">#REF!</definedName>
    <definedName name="Excel_BuiltIn_Print_Area_5_1" localSheetId="13">#REF!</definedName>
    <definedName name="Excel_BuiltIn_Print_Area_5_1" localSheetId="4">#REF!</definedName>
    <definedName name="Excel_BuiltIn_Print_Area_5_1" localSheetId="11">#REF!</definedName>
    <definedName name="Excel_BuiltIn_Print_Area_5_1" localSheetId="0">#REF!</definedName>
    <definedName name="Excel_BuiltIn_Print_Area_5_1" localSheetId="6">#REF!</definedName>
    <definedName name="Excel_BuiltIn_Print_Area_5_1">#REF!</definedName>
    <definedName name="Excel_BuiltIn_Print_Area_6" localSheetId="13">#REF!</definedName>
    <definedName name="Excel_BuiltIn_Print_Area_6" localSheetId="4">#REF!</definedName>
    <definedName name="Excel_BuiltIn_Print_Area_6" localSheetId="11">#REF!</definedName>
    <definedName name="Excel_BuiltIn_Print_Area_6" localSheetId="0">#REF!</definedName>
    <definedName name="Excel_BuiltIn_Print_Area_6" localSheetId="6">#REF!</definedName>
    <definedName name="Excel_BuiltIn_Print_Area_6">#REF!</definedName>
    <definedName name="Excel_BuiltIn_Print_Area_9" localSheetId="13">#REF!</definedName>
    <definedName name="Excel_BuiltIn_Print_Area_9" localSheetId="4">#REF!</definedName>
    <definedName name="Excel_BuiltIn_Print_Area_9" localSheetId="11">#REF!</definedName>
    <definedName name="Excel_BuiltIn_Print_Area_9" localSheetId="0">#REF!</definedName>
    <definedName name="Excel_BuiltIn_Print_Area_9" localSheetId="6">#REF!</definedName>
    <definedName name="Excel_BuiltIn_Print_Area_9">#REF!</definedName>
    <definedName name="Excel_BuiltIn_Print_Titles_1" localSheetId="13">#REF!</definedName>
    <definedName name="Excel_BuiltIn_Print_Titles_1" localSheetId="4">#REF!</definedName>
    <definedName name="Excel_BuiltIn_Print_Titles_1" localSheetId="11">#REF!</definedName>
    <definedName name="Excel_BuiltIn_Print_Titles_1" localSheetId="0">#REF!</definedName>
    <definedName name="Excel_BuiltIn_Print_Titles_1" localSheetId="6">#REF!</definedName>
    <definedName name="Excel_BuiltIn_Print_Titles_1">#REF!</definedName>
    <definedName name="Excel_BuiltIn_Print_Titles_10" localSheetId="13">#REF!</definedName>
    <definedName name="Excel_BuiltIn_Print_Titles_10" localSheetId="4">#REF!</definedName>
    <definedName name="Excel_BuiltIn_Print_Titles_10" localSheetId="11">#REF!</definedName>
    <definedName name="Excel_BuiltIn_Print_Titles_10" localSheetId="0">#REF!</definedName>
    <definedName name="Excel_BuiltIn_Print_Titles_10" localSheetId="6">#REF!</definedName>
    <definedName name="Excel_BuiltIn_Print_Titles_10">#REF!</definedName>
    <definedName name="Excel_BuiltIn_Print_Titles_2" localSheetId="13">#REF!</definedName>
    <definedName name="Excel_BuiltIn_Print_Titles_2" localSheetId="4">#REF!</definedName>
    <definedName name="Excel_BuiltIn_Print_Titles_2" localSheetId="11">#REF!</definedName>
    <definedName name="Excel_BuiltIn_Print_Titles_2" localSheetId="0">#REF!</definedName>
    <definedName name="Excel_BuiltIn_Print_Titles_2" localSheetId="6">#REF!</definedName>
    <definedName name="Excel_BuiltIn_Print_Titles_2">#REF!</definedName>
    <definedName name="Excel_BuiltIn_Print_Titles_2_1" localSheetId="13">#REF!</definedName>
    <definedName name="Excel_BuiltIn_Print_Titles_2_1" localSheetId="4">#REF!</definedName>
    <definedName name="Excel_BuiltIn_Print_Titles_2_1" localSheetId="11">#REF!</definedName>
    <definedName name="Excel_BuiltIn_Print_Titles_2_1" localSheetId="0">#REF!</definedName>
    <definedName name="Excel_BuiltIn_Print_Titles_2_1" localSheetId="6">#REF!</definedName>
    <definedName name="Excel_BuiltIn_Print_Titles_2_1">#REF!</definedName>
    <definedName name="Excel_BuiltIn_Print_Titles_3" localSheetId="13">#REF!</definedName>
    <definedName name="Excel_BuiltIn_Print_Titles_3" localSheetId="4">#REF!</definedName>
    <definedName name="Excel_BuiltIn_Print_Titles_3" localSheetId="11">#REF!</definedName>
    <definedName name="Excel_BuiltIn_Print_Titles_3" localSheetId="0">#REF!</definedName>
    <definedName name="Excel_BuiltIn_Print_Titles_3" localSheetId="6">#REF!</definedName>
    <definedName name="Excel_BuiltIn_Print_Titles_3">#REF!</definedName>
    <definedName name="Excel_BuiltIn_Print_Titles_3_1" localSheetId="13">#REF!</definedName>
    <definedName name="Excel_BuiltIn_Print_Titles_3_1" localSheetId="4">#REF!</definedName>
    <definedName name="Excel_BuiltIn_Print_Titles_3_1" localSheetId="11">#REF!</definedName>
    <definedName name="Excel_BuiltIn_Print_Titles_3_1" localSheetId="0">#REF!</definedName>
    <definedName name="Excel_BuiltIn_Print_Titles_3_1" localSheetId="6">#REF!</definedName>
    <definedName name="Excel_BuiltIn_Print_Titles_3_1">#REF!</definedName>
    <definedName name="Excel_BuiltIn_Print_Titles_4" localSheetId="13">#REF!</definedName>
    <definedName name="Excel_BuiltIn_Print_Titles_4" localSheetId="4">#REF!</definedName>
    <definedName name="Excel_BuiltIn_Print_Titles_4" localSheetId="11">#REF!</definedName>
    <definedName name="Excel_BuiltIn_Print_Titles_4" localSheetId="0">#REF!</definedName>
    <definedName name="Excel_BuiltIn_Print_Titles_4" localSheetId="6">#REF!</definedName>
    <definedName name="Excel_BuiltIn_Print_Titles_4">#REF!</definedName>
    <definedName name="Excel_BuiltIn_Print_Titles_4_1" localSheetId="13">#REF!</definedName>
    <definedName name="Excel_BuiltIn_Print_Titles_4_1" localSheetId="4">#REF!</definedName>
    <definedName name="Excel_BuiltIn_Print_Titles_4_1" localSheetId="11">#REF!</definedName>
    <definedName name="Excel_BuiltIn_Print_Titles_4_1" localSheetId="0">#REF!</definedName>
    <definedName name="Excel_BuiltIn_Print_Titles_4_1" localSheetId="6">#REF!</definedName>
    <definedName name="Excel_BuiltIn_Print_Titles_4_1">#REF!</definedName>
    <definedName name="Excel_BuiltIn_Print_Titles_6" localSheetId="13">#REF!</definedName>
    <definedName name="Excel_BuiltIn_Print_Titles_6" localSheetId="4">#REF!</definedName>
    <definedName name="Excel_BuiltIn_Print_Titles_6" localSheetId="11">#REF!</definedName>
    <definedName name="Excel_BuiltIn_Print_Titles_6" localSheetId="0">#REF!</definedName>
    <definedName name="Excel_BuiltIn_Print_Titles_6" localSheetId="6">#REF!</definedName>
    <definedName name="Excel_BuiltIn_Print_Titles_6">#REF!</definedName>
    <definedName name="Excel_BuiltIn_Print_Titles_6_1" localSheetId="13">#REF!</definedName>
    <definedName name="Excel_BuiltIn_Print_Titles_6_1" localSheetId="4">#REF!</definedName>
    <definedName name="Excel_BuiltIn_Print_Titles_6_1" localSheetId="11">#REF!</definedName>
    <definedName name="Excel_BuiltIn_Print_Titles_6_1" localSheetId="0">#REF!</definedName>
    <definedName name="Excel_BuiltIn_Print_Titles_6_1" localSheetId="6">#REF!</definedName>
    <definedName name="Excel_BuiltIn_Print_Titles_6_1">#REF!</definedName>
    <definedName name="Excel_BuiltIn_Print_Titles_8" localSheetId="13">#REF!</definedName>
    <definedName name="Excel_BuiltIn_Print_Titles_8" localSheetId="4">#REF!</definedName>
    <definedName name="Excel_BuiltIn_Print_Titles_8" localSheetId="11">#REF!</definedName>
    <definedName name="Excel_BuiltIn_Print_Titles_8" localSheetId="0">#REF!</definedName>
    <definedName name="Excel_BuiltIn_Print_Titles_8" localSheetId="6">#REF!</definedName>
    <definedName name="Excel_BuiltIn_Print_Titles_8">#REF!</definedName>
    <definedName name="Excel_BuiltIn_Print_Titles_8_1" localSheetId="13">#REF!</definedName>
    <definedName name="Excel_BuiltIn_Print_Titles_8_1" localSheetId="4">#REF!</definedName>
    <definedName name="Excel_BuiltIn_Print_Titles_8_1" localSheetId="11">#REF!</definedName>
    <definedName name="Excel_BuiltIn_Print_Titles_8_1" localSheetId="0">#REF!</definedName>
    <definedName name="Excel_BuiltIn_Print_Titles_8_1" localSheetId="6">#REF!</definedName>
    <definedName name="Excel_BuiltIn_Print_Titles_8_1">#REF!</definedName>
    <definedName name="Excel_BuiltIn_Print_Titles_9" localSheetId="13">#REF!</definedName>
    <definedName name="Excel_BuiltIn_Print_Titles_9" localSheetId="4">#REF!</definedName>
    <definedName name="Excel_BuiltIn_Print_Titles_9" localSheetId="11">#REF!</definedName>
    <definedName name="Excel_BuiltIn_Print_Titles_9" localSheetId="0">#REF!</definedName>
    <definedName name="Excel_BuiltIn_Print_Titles_9" localSheetId="6">#REF!</definedName>
    <definedName name="Excel_BuiltIn_Print_Titles_9">#REF!</definedName>
    <definedName name="Excel_BuiltIn_Print_Titles_9_1" localSheetId="13">#REF!</definedName>
    <definedName name="Excel_BuiltIn_Print_Titles_9_1" localSheetId="4">#REF!</definedName>
    <definedName name="Excel_BuiltIn_Print_Titles_9_1" localSheetId="11">#REF!</definedName>
    <definedName name="Excel_BuiltIn_Print_Titles_9_1" localSheetId="0">#REF!</definedName>
    <definedName name="Excel_BuiltIn_Print_Titles_9_1" localSheetId="6">#REF!</definedName>
    <definedName name="Excel_BuiltIn_Print_Titles_9_1">#REF!</definedName>
    <definedName name="fsk" localSheetId="4">#REF!</definedName>
    <definedName name="fsk">#REF!</definedName>
    <definedName name="juni">#REF!</definedName>
    <definedName name="_xlnm.Print_Area" localSheetId="2">alatktr!$A$1:$T$141</definedName>
    <definedName name="_xlnm.Print_Area" localSheetId="1">dokren!$B$1:$T$37</definedName>
    <definedName name="_xlnm.Print_Area" localSheetId="4">kendaraan!$B$1:$T$36</definedName>
    <definedName name="_xlnm.Print_Area" localSheetId="11">kesra!$B$1:$U$65</definedName>
    <definedName name="_xlnm.Print_Area" localSheetId="6">rekrut!$B$1:$AB$57</definedName>
    <definedName name="_xlnm.Print_Titles" localSheetId="2">alatktr!$8:$12</definedName>
    <definedName name="_xlnm.Print_Titles" localSheetId="13">diklat!$9:$13</definedName>
    <definedName name="_xlnm.Print_Titles" localSheetId="4">kendaraan!$12:$12</definedName>
    <definedName name="_xlnm.Print_Titles" localSheetId="11">kesra!$8:$12</definedName>
    <definedName name="_xlnm.Print_Titles" localSheetId="0">rakord!$12:$12</definedName>
    <definedName name="ttklll">#REF!</definedName>
    <definedName name="z" localSheetId="11">#REF!</definedName>
    <definedName name="z">#REF!</definedName>
    <definedName name="zz" localSheetId="11">#REF!</definedName>
    <definedName name="zz">#REF!</definedName>
  </definedNames>
  <calcPr calcId="145621"/>
</workbook>
</file>

<file path=xl/calcChain.xml><?xml version="1.0" encoding="utf-8"?>
<calcChain xmlns="http://schemas.openxmlformats.org/spreadsheetml/2006/main">
  <c r="F74" i="18" l="1"/>
  <c r="F57" i="18"/>
  <c r="AA36" i="18"/>
  <c r="AA33" i="18"/>
  <c r="AB33" i="18" s="1"/>
  <c r="AA32" i="18"/>
  <c r="AB32" i="18" s="1"/>
  <c r="R32" i="18"/>
  <c r="Q32" i="18"/>
  <c r="P32" i="18"/>
  <c r="O32" i="18"/>
  <c r="N32" i="18"/>
  <c r="M32" i="18"/>
  <c r="L32" i="18"/>
  <c r="K32" i="18"/>
  <c r="J32" i="18"/>
  <c r="I32" i="18"/>
  <c r="H32" i="18"/>
  <c r="G32" i="18"/>
  <c r="AD31" i="18"/>
  <c r="X31" i="18"/>
  <c r="AB28" i="18"/>
  <c r="AA28" i="18"/>
  <c r="AA27" i="18"/>
  <c r="AB27" i="18" s="1"/>
  <c r="R27" i="18"/>
  <c r="Q27" i="18"/>
  <c r="P27" i="18"/>
  <c r="O27" i="18"/>
  <c r="N27" i="18"/>
  <c r="M27" i="18"/>
  <c r="L27" i="18"/>
  <c r="K27" i="18"/>
  <c r="J27" i="18"/>
  <c r="I27" i="18"/>
  <c r="H27" i="18"/>
  <c r="G27" i="18"/>
  <c r="R28" i="18" s="1"/>
  <c r="AD26" i="18"/>
  <c r="X26" i="18"/>
  <c r="AA23" i="18"/>
  <c r="AB23" i="18" s="1"/>
  <c r="AB22" i="18"/>
  <c r="AA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Q23" i="18" s="1"/>
  <c r="AE21" i="18"/>
  <c r="AD21" i="18"/>
  <c r="X21" i="18"/>
  <c r="AA18" i="18"/>
  <c r="AB18" i="18" s="1"/>
  <c r="AB17" i="18"/>
  <c r="AA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AE16" i="18"/>
  <c r="AD16" i="18"/>
  <c r="Z16" i="18"/>
  <c r="AA16" i="18" s="1"/>
  <c r="X16" i="18"/>
  <c r="AF15" i="18"/>
  <c r="Z15" i="18"/>
  <c r="Z36" i="18" s="1"/>
  <c r="Z31" i="18" s="1"/>
  <c r="S15" i="18"/>
  <c r="W40" i="18" s="1"/>
  <c r="AE12" i="18"/>
  <c r="D7" i="18"/>
  <c r="F117" i="17"/>
  <c r="F100" i="17"/>
  <c r="AA54" i="17"/>
  <c r="AA52" i="17"/>
  <c r="AB52" i="17" s="1"/>
  <c r="G52" i="17"/>
  <c r="AB51" i="17"/>
  <c r="AA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AE49" i="17"/>
  <c r="AD49" i="17"/>
  <c r="X49" i="17"/>
  <c r="AD48" i="17"/>
  <c r="AA46" i="17"/>
  <c r="AB46" i="17" s="1"/>
  <c r="AA45" i="17"/>
  <c r="AB45" i="17" s="1"/>
  <c r="R45" i="17"/>
  <c r="Q45" i="17"/>
  <c r="P45" i="17"/>
  <c r="O45" i="17"/>
  <c r="N45" i="17"/>
  <c r="M45" i="17"/>
  <c r="L45" i="17"/>
  <c r="K45" i="17"/>
  <c r="J45" i="17"/>
  <c r="I45" i="17"/>
  <c r="H45" i="17"/>
  <c r="G45" i="17"/>
  <c r="O46" i="17" s="1"/>
  <c r="AD43" i="17"/>
  <c r="X43" i="17"/>
  <c r="AB40" i="17"/>
  <c r="AA40" i="17"/>
  <c r="AA39" i="17"/>
  <c r="AB39" i="17" s="1"/>
  <c r="R39" i="17"/>
  <c r="Q39" i="17"/>
  <c r="P39" i="17"/>
  <c r="O39" i="17"/>
  <c r="N39" i="17"/>
  <c r="M39" i="17"/>
  <c r="L39" i="17"/>
  <c r="K39" i="17"/>
  <c r="J39" i="17"/>
  <c r="I39" i="17"/>
  <c r="H39" i="17"/>
  <c r="G39" i="17"/>
  <c r="R40" i="17" s="1"/>
  <c r="AD38" i="17"/>
  <c r="AD37" i="17"/>
  <c r="X37" i="17"/>
  <c r="U37" i="17"/>
  <c r="P41" i="17" s="1"/>
  <c r="AA34" i="17"/>
  <c r="AB34" i="17" s="1"/>
  <c r="Q34" i="17"/>
  <c r="M34" i="17"/>
  <c r="I34" i="17"/>
  <c r="G34" i="17"/>
  <c r="AF33" i="17"/>
  <c r="AB33" i="17"/>
  <c r="AA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R34" i="17" s="1"/>
  <c r="AD32" i="17"/>
  <c r="X32" i="17"/>
  <c r="AA29" i="17"/>
  <c r="AB29" i="17" s="1"/>
  <c r="G29" i="17"/>
  <c r="AB28" i="17"/>
  <c r="AA28" i="17"/>
  <c r="R28" i="17"/>
  <c r="Q28" i="17"/>
  <c r="P28" i="17"/>
  <c r="O28" i="17"/>
  <c r="N28" i="17"/>
  <c r="M28" i="17"/>
  <c r="L28" i="17"/>
  <c r="K28" i="17"/>
  <c r="J28" i="17"/>
  <c r="I28" i="17"/>
  <c r="H28" i="17"/>
  <c r="Q29" i="17" s="1"/>
  <c r="G28" i="17"/>
  <c r="R29" i="17" s="1"/>
  <c r="AH27" i="17"/>
  <c r="AF27" i="17"/>
  <c r="AD27" i="17"/>
  <c r="AD26" i="17"/>
  <c r="X26" i="17"/>
  <c r="AA23" i="17"/>
  <c r="AB23" i="17" s="1"/>
  <c r="AB22" i="17"/>
  <c r="AA22" i="17"/>
  <c r="X21" i="17"/>
  <c r="R21" i="17"/>
  <c r="R22" i="17" s="1"/>
  <c r="Q21" i="17"/>
  <c r="Q22" i="17" s="1"/>
  <c r="P21" i="17"/>
  <c r="P22" i="17" s="1"/>
  <c r="O21" i="17"/>
  <c r="O22" i="17" s="1"/>
  <c r="N21" i="17"/>
  <c r="N22" i="17" s="1"/>
  <c r="M21" i="17"/>
  <c r="M22" i="17" s="1"/>
  <c r="L21" i="17"/>
  <c r="L22" i="17" s="1"/>
  <c r="K21" i="17"/>
  <c r="K22" i="17" s="1"/>
  <c r="J21" i="17"/>
  <c r="J22" i="17" s="1"/>
  <c r="I21" i="17"/>
  <c r="I22" i="17" s="1"/>
  <c r="H21" i="17"/>
  <c r="H22" i="17" s="1"/>
  <c r="G21" i="17"/>
  <c r="G22" i="17" s="1"/>
  <c r="AA18" i="17"/>
  <c r="AB18" i="17" s="1"/>
  <c r="AB17" i="17"/>
  <c r="AA17" i="17"/>
  <c r="P17" i="17"/>
  <c r="L17" i="17"/>
  <c r="H17" i="17"/>
  <c r="AE16" i="17"/>
  <c r="Z16" i="17"/>
  <c r="AA16" i="17" s="1"/>
  <c r="X16" i="17"/>
  <c r="R16" i="17"/>
  <c r="R17" i="17" s="1"/>
  <c r="Q16" i="17"/>
  <c r="Q17" i="17" s="1"/>
  <c r="P16" i="17"/>
  <c r="O16" i="17"/>
  <c r="O17" i="17" s="1"/>
  <c r="N16" i="17"/>
  <c r="N17" i="17" s="1"/>
  <c r="M16" i="17"/>
  <c r="M17" i="17" s="1"/>
  <c r="L16" i="17"/>
  <c r="K16" i="17"/>
  <c r="K17" i="17" s="1"/>
  <c r="J16" i="17"/>
  <c r="J17" i="17" s="1"/>
  <c r="I16" i="17"/>
  <c r="I17" i="17" s="1"/>
  <c r="H16" i="17"/>
  <c r="G16" i="17"/>
  <c r="G17" i="17" s="1"/>
  <c r="AF15" i="17"/>
  <c r="Z15" i="17"/>
  <c r="Z54" i="17" s="1"/>
  <c r="Z49" i="17" s="1"/>
  <c r="S15" i="17"/>
  <c r="AE12" i="17"/>
  <c r="D7" i="17"/>
  <c r="AA53" i="16"/>
  <c r="AD52" i="16"/>
  <c r="AA50" i="16"/>
  <c r="AB50" i="16" s="1"/>
  <c r="Q50" i="16"/>
  <c r="I50" i="16"/>
  <c r="AA49" i="16"/>
  <c r="AB49" i="16" s="1"/>
  <c r="R49" i="16"/>
  <c r="Q49" i="16"/>
  <c r="P49" i="16"/>
  <c r="O49" i="16"/>
  <c r="N49" i="16"/>
  <c r="M49" i="16"/>
  <c r="L49" i="16"/>
  <c r="K49" i="16"/>
  <c r="J49" i="16"/>
  <c r="I49" i="16"/>
  <c r="H49" i="16"/>
  <c r="G49" i="16"/>
  <c r="AD47" i="16"/>
  <c r="X47" i="16"/>
  <c r="AB40" i="16"/>
  <c r="AA40" i="16"/>
  <c r="P40" i="16"/>
  <c r="H40" i="16"/>
  <c r="AA39" i="16"/>
  <c r="AB39" i="16" s="1"/>
  <c r="R39" i="16"/>
  <c r="Q39" i="16"/>
  <c r="P39" i="16"/>
  <c r="O39" i="16"/>
  <c r="N39" i="16"/>
  <c r="M39" i="16"/>
  <c r="L39" i="16"/>
  <c r="K39" i="16"/>
  <c r="J39" i="16"/>
  <c r="I39" i="16"/>
  <c r="H39" i="16"/>
  <c r="G39" i="16"/>
  <c r="AD38" i="16"/>
  <c r="AD37" i="16"/>
  <c r="X37" i="16"/>
  <c r="AA34" i="16"/>
  <c r="AB34" i="16" s="1"/>
  <c r="AA33" i="16"/>
  <c r="AB33" i="16" s="1"/>
  <c r="R33" i="16"/>
  <c r="Q33" i="16"/>
  <c r="P33" i="16"/>
  <c r="O33" i="16"/>
  <c r="N33" i="16"/>
  <c r="M33" i="16"/>
  <c r="L33" i="16"/>
  <c r="K33" i="16"/>
  <c r="J33" i="16"/>
  <c r="I33" i="16"/>
  <c r="H33" i="16"/>
  <c r="G33" i="16"/>
  <c r="AD32" i="16"/>
  <c r="X32" i="16"/>
  <c r="AB29" i="16"/>
  <c r="AA29" i="16"/>
  <c r="AA28" i="16"/>
  <c r="AB28" i="16" s="1"/>
  <c r="R28" i="16"/>
  <c r="Q28" i="16"/>
  <c r="P28" i="16"/>
  <c r="O28" i="16"/>
  <c r="N28" i="16"/>
  <c r="M28" i="16"/>
  <c r="L28" i="16"/>
  <c r="K28" i="16"/>
  <c r="J28" i="16"/>
  <c r="I28" i="16"/>
  <c r="H28" i="16"/>
  <c r="G28" i="16"/>
  <c r="AF27" i="16"/>
  <c r="AD27" i="16"/>
  <c r="AD26" i="16"/>
  <c r="X26" i="16"/>
  <c r="AA23" i="16"/>
  <c r="AB23" i="16" s="1"/>
  <c r="O23" i="16"/>
  <c r="K23" i="16"/>
  <c r="G23" i="16"/>
  <c r="AB22" i="16"/>
  <c r="AA22" i="16"/>
  <c r="R22" i="16"/>
  <c r="Q22" i="16"/>
  <c r="P22" i="16"/>
  <c r="O22" i="16"/>
  <c r="N22" i="16"/>
  <c r="M22" i="16"/>
  <c r="L22" i="16"/>
  <c r="K22" i="16"/>
  <c r="J22" i="16"/>
  <c r="I22" i="16"/>
  <c r="H22" i="16"/>
  <c r="Q23" i="16" s="1"/>
  <c r="G22" i="16"/>
  <c r="AE21" i="16"/>
  <c r="AD21" i="16"/>
  <c r="X21" i="16"/>
  <c r="AA18" i="16"/>
  <c r="AB18" i="16" s="1"/>
  <c r="G18" i="16"/>
  <c r="AB17" i="16"/>
  <c r="AA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AE16" i="16"/>
  <c r="AD16" i="16"/>
  <c r="Z16" i="16"/>
  <c r="AA16" i="16" s="1"/>
  <c r="X16" i="16"/>
  <c r="Z15" i="16"/>
  <c r="Z53" i="16" s="1"/>
  <c r="Z47" i="16" s="1"/>
  <c r="S15" i="16"/>
  <c r="AE12" i="16"/>
  <c r="Z26" i="18" l="1"/>
  <c r="AA31" i="18"/>
  <c r="U16" i="18"/>
  <c r="AD17" i="18"/>
  <c r="H18" i="18"/>
  <c r="J18" i="18"/>
  <c r="L18" i="18"/>
  <c r="N18" i="18"/>
  <c r="P18" i="18"/>
  <c r="R18" i="18"/>
  <c r="U21" i="18"/>
  <c r="H24" i="18" s="1"/>
  <c r="AD22" i="18"/>
  <c r="H23" i="18"/>
  <c r="J23" i="18"/>
  <c r="L23" i="18"/>
  <c r="N23" i="18"/>
  <c r="P23" i="18"/>
  <c r="R23" i="18"/>
  <c r="G24" i="18"/>
  <c r="U26" i="18"/>
  <c r="Y26" i="18" s="1"/>
  <c r="G28" i="18"/>
  <c r="I28" i="18"/>
  <c r="K28" i="18"/>
  <c r="M28" i="18"/>
  <c r="O28" i="18"/>
  <c r="Q28" i="18"/>
  <c r="G29" i="18"/>
  <c r="U31" i="18"/>
  <c r="H34" i="18" s="1"/>
  <c r="H33" i="18"/>
  <c r="J33" i="18"/>
  <c r="L33" i="18"/>
  <c r="N33" i="18"/>
  <c r="P33" i="18"/>
  <c r="R33" i="18"/>
  <c r="G18" i="18"/>
  <c r="I18" i="18"/>
  <c r="K18" i="18"/>
  <c r="M18" i="18"/>
  <c r="O18" i="18"/>
  <c r="Q18" i="18"/>
  <c r="G23" i="18"/>
  <c r="I23" i="18"/>
  <c r="K23" i="18"/>
  <c r="M23" i="18"/>
  <c r="O23" i="18"/>
  <c r="AD27" i="18"/>
  <c r="H28" i="18"/>
  <c r="J28" i="18"/>
  <c r="L28" i="18"/>
  <c r="N28" i="18"/>
  <c r="P28" i="18"/>
  <c r="G33" i="18"/>
  <c r="I33" i="18"/>
  <c r="K33" i="18"/>
  <c r="M33" i="18"/>
  <c r="O33" i="18"/>
  <c r="Q33" i="18"/>
  <c r="J19" i="17"/>
  <c r="R19" i="17"/>
  <c r="J24" i="17"/>
  <c r="N24" i="17"/>
  <c r="R24" i="17"/>
  <c r="O30" i="17"/>
  <c r="AA49" i="17"/>
  <c r="Z43" i="17"/>
  <c r="Q18" i="17"/>
  <c r="O18" i="17"/>
  <c r="M18" i="17"/>
  <c r="K18" i="17"/>
  <c r="I18" i="17"/>
  <c r="G18" i="17"/>
  <c r="R18" i="17"/>
  <c r="P18" i="17"/>
  <c r="N18" i="17"/>
  <c r="L18" i="17"/>
  <c r="J18" i="17"/>
  <c r="H18" i="17"/>
  <c r="AD17" i="17"/>
  <c r="K19" i="17"/>
  <c r="O19" i="17"/>
  <c r="Y16" i="17"/>
  <c r="L19" i="17"/>
  <c r="Q23" i="17"/>
  <c r="O23" i="17"/>
  <c r="M23" i="17"/>
  <c r="K23" i="17"/>
  <c r="I23" i="17"/>
  <c r="G23" i="17"/>
  <c r="G24" i="17"/>
  <c r="R23" i="17"/>
  <c r="P23" i="17"/>
  <c r="N23" i="17"/>
  <c r="L23" i="17"/>
  <c r="J23" i="17"/>
  <c r="H23" i="17"/>
  <c r="AD22" i="17"/>
  <c r="I24" i="17"/>
  <c r="M24" i="17"/>
  <c r="Q24" i="17"/>
  <c r="Y26" i="17"/>
  <c r="W58" i="17"/>
  <c r="U49" i="17"/>
  <c r="U43" i="17"/>
  <c r="I47" i="17" s="1"/>
  <c r="U16" i="17"/>
  <c r="AD16" i="17"/>
  <c r="U21" i="17"/>
  <c r="H24" i="17" s="1"/>
  <c r="AD21" i="17"/>
  <c r="U26" i="17"/>
  <c r="AD28" i="17"/>
  <c r="H29" i="17"/>
  <c r="J29" i="17"/>
  <c r="L29" i="17"/>
  <c r="N29" i="17"/>
  <c r="P29" i="17"/>
  <c r="H30" i="17"/>
  <c r="U32" i="17"/>
  <c r="H35" i="17"/>
  <c r="J35" i="17"/>
  <c r="L35" i="17"/>
  <c r="N35" i="17"/>
  <c r="P35" i="17"/>
  <c r="R35" i="17"/>
  <c r="K34" i="17"/>
  <c r="O34" i="17"/>
  <c r="AD39" i="17"/>
  <c r="J40" i="17"/>
  <c r="N40" i="17"/>
  <c r="J41" i="17"/>
  <c r="N41" i="17"/>
  <c r="R41" i="17"/>
  <c r="H47" i="17"/>
  <c r="L47" i="17"/>
  <c r="P47" i="17"/>
  <c r="G46" i="17"/>
  <c r="K46" i="17"/>
  <c r="Y49" i="17"/>
  <c r="H53" i="17"/>
  <c r="Q52" i="17"/>
  <c r="O52" i="17"/>
  <c r="M52" i="17"/>
  <c r="K52" i="17"/>
  <c r="I52" i="17"/>
  <c r="J53" i="17"/>
  <c r="L53" i="17"/>
  <c r="N53" i="17"/>
  <c r="P53" i="17"/>
  <c r="R53" i="17"/>
  <c r="AE21" i="17"/>
  <c r="J30" i="17"/>
  <c r="L30" i="17"/>
  <c r="N30" i="17"/>
  <c r="P30" i="17"/>
  <c r="R30" i="17"/>
  <c r="I29" i="17"/>
  <c r="K29" i="17"/>
  <c r="M29" i="17"/>
  <c r="O29" i="17"/>
  <c r="Y37" i="17"/>
  <c r="G41" i="17"/>
  <c r="Q40" i="17"/>
  <c r="O40" i="17"/>
  <c r="M40" i="17"/>
  <c r="K40" i="17"/>
  <c r="I40" i="17"/>
  <c r="G40" i="17"/>
  <c r="I41" i="17"/>
  <c r="K41" i="17"/>
  <c r="M41" i="17"/>
  <c r="O41" i="17"/>
  <c r="Q41" i="17"/>
  <c r="H40" i="17"/>
  <c r="L40" i="17"/>
  <c r="P40" i="17"/>
  <c r="H41" i="17"/>
  <c r="L41" i="17"/>
  <c r="Y43" i="17"/>
  <c r="R46" i="17"/>
  <c r="P46" i="17"/>
  <c r="N46" i="17"/>
  <c r="L46" i="17"/>
  <c r="J46" i="17"/>
  <c r="H46" i="17"/>
  <c r="I46" i="17"/>
  <c r="M46" i="17"/>
  <c r="Q46" i="17"/>
  <c r="G47" i="17"/>
  <c r="G53" i="17"/>
  <c r="I53" i="17"/>
  <c r="K53" i="17"/>
  <c r="M53" i="17"/>
  <c r="O53" i="17"/>
  <c r="Q53" i="17"/>
  <c r="H34" i="17"/>
  <c r="J34" i="17"/>
  <c r="L34" i="17"/>
  <c r="N34" i="17"/>
  <c r="P34" i="17"/>
  <c r="AD51" i="17"/>
  <c r="H52" i="17"/>
  <c r="AD52" i="17" s="1"/>
  <c r="J52" i="17"/>
  <c r="L52" i="17"/>
  <c r="N52" i="17"/>
  <c r="P52" i="17"/>
  <c r="R52" i="17"/>
  <c r="W57" i="16"/>
  <c r="U47" i="16"/>
  <c r="U32" i="16"/>
  <c r="K35" i="16" s="1"/>
  <c r="U26" i="16"/>
  <c r="U21" i="16"/>
  <c r="U16" i="16"/>
  <c r="H19" i="16"/>
  <c r="J19" i="16"/>
  <c r="L19" i="16"/>
  <c r="N19" i="16"/>
  <c r="P19" i="16"/>
  <c r="R19" i="16"/>
  <c r="I18" i="16"/>
  <c r="M18" i="16"/>
  <c r="Q18" i="16"/>
  <c r="G30" i="16"/>
  <c r="Q29" i="16"/>
  <c r="O29" i="16"/>
  <c r="M29" i="16"/>
  <c r="K29" i="16"/>
  <c r="I29" i="16"/>
  <c r="G29" i="16"/>
  <c r="R29" i="16"/>
  <c r="N29" i="16"/>
  <c r="J29" i="16"/>
  <c r="AD28" i="16"/>
  <c r="I30" i="16"/>
  <c r="K30" i="16"/>
  <c r="M30" i="16"/>
  <c r="O30" i="16"/>
  <c r="Q30" i="16"/>
  <c r="L29" i="16"/>
  <c r="R34" i="16"/>
  <c r="P34" i="16"/>
  <c r="N34" i="16"/>
  <c r="L34" i="16"/>
  <c r="J34" i="16"/>
  <c r="H34" i="16"/>
  <c r="O34" i="16"/>
  <c r="K34" i="16"/>
  <c r="G34" i="16"/>
  <c r="I35" i="16"/>
  <c r="Q35" i="16"/>
  <c r="M34" i="16"/>
  <c r="U37" i="16"/>
  <c r="Y47" i="16"/>
  <c r="AA47" i="16"/>
  <c r="AB47" i="16" s="1"/>
  <c r="Z37" i="16"/>
  <c r="AF15" i="16"/>
  <c r="R18" i="16"/>
  <c r="K18" i="16"/>
  <c r="O18" i="16"/>
  <c r="Y21" i="16"/>
  <c r="N24" i="16"/>
  <c r="I23" i="16"/>
  <c r="M23" i="16"/>
  <c r="Y26" i="16"/>
  <c r="H29" i="16"/>
  <c r="P29" i="16"/>
  <c r="I34" i="16"/>
  <c r="Q34" i="16"/>
  <c r="G35" i="16"/>
  <c r="Q40" i="16"/>
  <c r="O40" i="16"/>
  <c r="M40" i="16"/>
  <c r="K40" i="16"/>
  <c r="I40" i="16"/>
  <c r="G40" i="16"/>
  <c r="R40" i="16"/>
  <c r="N40" i="16"/>
  <c r="J40" i="16"/>
  <c r="AD39" i="16"/>
  <c r="I41" i="16"/>
  <c r="M41" i="16"/>
  <c r="Q41" i="16"/>
  <c r="L40" i="16"/>
  <c r="R50" i="16"/>
  <c r="P50" i="16"/>
  <c r="N50" i="16"/>
  <c r="L50" i="16"/>
  <c r="J50" i="16"/>
  <c r="H50" i="16"/>
  <c r="O50" i="16"/>
  <c r="K50" i="16"/>
  <c r="G50" i="16"/>
  <c r="I51" i="16"/>
  <c r="M51" i="16"/>
  <c r="Q51" i="16"/>
  <c r="M50" i="16"/>
  <c r="AD17" i="16"/>
  <c r="H18" i="16"/>
  <c r="J18" i="16"/>
  <c r="L18" i="16"/>
  <c r="N18" i="16"/>
  <c r="P18" i="16"/>
  <c r="K24" i="16"/>
  <c r="O24" i="16"/>
  <c r="AD22" i="16"/>
  <c r="H23" i="16"/>
  <c r="AD23" i="16" s="1"/>
  <c r="J23" i="16"/>
  <c r="L23" i="16"/>
  <c r="N23" i="16"/>
  <c r="P23" i="16"/>
  <c r="R23" i="16"/>
  <c r="J35" i="16"/>
  <c r="N35" i="16"/>
  <c r="R35" i="16"/>
  <c r="H51" i="16"/>
  <c r="J51" i="16"/>
  <c r="L51" i="16"/>
  <c r="N51" i="16"/>
  <c r="P51" i="16"/>
  <c r="R51" i="16"/>
  <c r="AD23" i="18" l="1"/>
  <c r="U15" i="18"/>
  <c r="O34" i="18"/>
  <c r="K34" i="18"/>
  <c r="G34" i="18"/>
  <c r="R29" i="18"/>
  <c r="N29" i="18"/>
  <c r="J29" i="18"/>
  <c r="Q24" i="18"/>
  <c r="M24" i="18"/>
  <c r="I24" i="18"/>
  <c r="O19" i="18"/>
  <c r="K19" i="18"/>
  <c r="G19" i="18"/>
  <c r="AB31" i="18"/>
  <c r="R34" i="18"/>
  <c r="N34" i="18"/>
  <c r="J34" i="18"/>
  <c r="Q29" i="18"/>
  <c r="M29" i="18"/>
  <c r="I29" i="18"/>
  <c r="R24" i="18"/>
  <c r="N24" i="18"/>
  <c r="J24" i="18"/>
  <c r="Y21" i="18"/>
  <c r="P19" i="18"/>
  <c r="L19" i="18"/>
  <c r="H19" i="18"/>
  <c r="Q34" i="18"/>
  <c r="M34" i="18"/>
  <c r="I34" i="18"/>
  <c r="Y31" i="18"/>
  <c r="P29" i="18"/>
  <c r="L29" i="18"/>
  <c r="H29" i="18"/>
  <c r="O24" i="18"/>
  <c r="K24" i="18"/>
  <c r="Q19" i="18"/>
  <c r="M19" i="18"/>
  <c r="M36" i="18" s="1"/>
  <c r="I19" i="18"/>
  <c r="Y16" i="18"/>
  <c r="Z21" i="18"/>
  <c r="AA21" i="18" s="1"/>
  <c r="AB21" i="18" s="1"/>
  <c r="AA26" i="18"/>
  <c r="AB26" i="18" s="1"/>
  <c r="P34" i="18"/>
  <c r="L34" i="18"/>
  <c r="O29" i="18"/>
  <c r="K29" i="18"/>
  <c r="P24" i="18"/>
  <c r="L24" i="18"/>
  <c r="R19" i="18"/>
  <c r="R36" i="18" s="1"/>
  <c r="N19" i="18"/>
  <c r="N36" i="18" s="1"/>
  <c r="J19" i="18"/>
  <c r="J36" i="18" s="1"/>
  <c r="AB16" i="18"/>
  <c r="O47" i="17"/>
  <c r="K47" i="17"/>
  <c r="L54" i="17"/>
  <c r="Y15" i="17"/>
  <c r="AA43" i="17"/>
  <c r="AB43" i="17" s="1"/>
  <c r="Z37" i="17"/>
  <c r="AD53" i="17"/>
  <c r="R47" i="17"/>
  <c r="R54" i="17" s="1"/>
  <c r="N47" i="17"/>
  <c r="J47" i="17"/>
  <c r="J54" i="17" s="1"/>
  <c r="O35" i="17"/>
  <c r="K35" i="17"/>
  <c r="G35" i="17"/>
  <c r="Q35" i="17"/>
  <c r="M35" i="17"/>
  <c r="I35" i="17"/>
  <c r="Y32" i="17"/>
  <c r="Q30" i="17"/>
  <c r="M30" i="17"/>
  <c r="I30" i="17"/>
  <c r="G30" i="17"/>
  <c r="AB16" i="17"/>
  <c r="U15" i="17"/>
  <c r="Q47" i="17"/>
  <c r="M47" i="17"/>
  <c r="Y21" i="17"/>
  <c r="Y54" i="17" s="1"/>
  <c r="O24" i="17"/>
  <c r="O54" i="17" s="1"/>
  <c r="K24" i="17"/>
  <c r="K54" i="17" s="1"/>
  <c r="AD23" i="17"/>
  <c r="P19" i="17"/>
  <c r="H19" i="17"/>
  <c r="Q19" i="17"/>
  <c r="Q54" i="17" s="1"/>
  <c r="M19" i="17"/>
  <c r="M54" i="17" s="1"/>
  <c r="I19" i="17"/>
  <c r="I54" i="17" s="1"/>
  <c r="G19" i="17"/>
  <c r="G54" i="17" s="1"/>
  <c r="AB49" i="17"/>
  <c r="K30" i="17"/>
  <c r="P24" i="17"/>
  <c r="L24" i="17"/>
  <c r="N19" i="17"/>
  <c r="N54" i="17" s="1"/>
  <c r="R41" i="16"/>
  <c r="N41" i="16"/>
  <c r="J41" i="16"/>
  <c r="P41" i="16"/>
  <c r="H41" i="16"/>
  <c r="L41" i="16"/>
  <c r="Y37" i="16"/>
  <c r="P24" i="16"/>
  <c r="P53" i="16" s="1"/>
  <c r="H24" i="16"/>
  <c r="O35" i="16"/>
  <c r="L24" i="16"/>
  <c r="L53" i="16" s="1"/>
  <c r="P35" i="16"/>
  <c r="L35" i="16"/>
  <c r="H35" i="16"/>
  <c r="H53" i="16" s="1"/>
  <c r="Q24" i="16"/>
  <c r="M24" i="16"/>
  <c r="I24" i="16"/>
  <c r="O41" i="16"/>
  <c r="K41" i="16"/>
  <c r="G41" i="16"/>
  <c r="Y32" i="16"/>
  <c r="R24" i="16"/>
  <c r="J24" i="16"/>
  <c r="AA37" i="16"/>
  <c r="AB37" i="16" s="1"/>
  <c r="Z32" i="16"/>
  <c r="M35" i="16"/>
  <c r="G24" i="16"/>
  <c r="Q19" i="16"/>
  <c r="Q53" i="16" s="1"/>
  <c r="M19" i="16"/>
  <c r="M53" i="16" s="1"/>
  <c r="I19" i="16"/>
  <c r="I53" i="16" s="1"/>
  <c r="U15" i="16"/>
  <c r="O19" i="16"/>
  <c r="K19" i="16"/>
  <c r="G19" i="16"/>
  <c r="AB16" i="16"/>
  <c r="Y16" i="16"/>
  <c r="R30" i="16"/>
  <c r="R53" i="16" s="1"/>
  <c r="N30" i="16"/>
  <c r="N53" i="16" s="1"/>
  <c r="J30" i="16"/>
  <c r="J53" i="16" s="1"/>
  <c r="L30" i="16"/>
  <c r="P30" i="16"/>
  <c r="H30" i="16"/>
  <c r="O51" i="16"/>
  <c r="G51" i="16"/>
  <c r="K51" i="16"/>
  <c r="AB36" i="18" l="1"/>
  <c r="AB15" i="18"/>
  <c r="Y36" i="18"/>
  <c r="Y15" i="18"/>
  <c r="L36" i="18"/>
  <c r="K36" i="18"/>
  <c r="I36" i="18"/>
  <c r="Q36" i="18"/>
  <c r="AD19" i="18"/>
  <c r="H36" i="18"/>
  <c r="P36" i="18"/>
  <c r="G36" i="18"/>
  <c r="O36" i="18"/>
  <c r="P54" i="17"/>
  <c r="AB54" i="17"/>
  <c r="AB15" i="17"/>
  <c r="Z32" i="17"/>
  <c r="AA37" i="17"/>
  <c r="AB37" i="17" s="1"/>
  <c r="G55" i="17"/>
  <c r="H54" i="17"/>
  <c r="P55" i="17" s="1"/>
  <c r="AD19" i="17"/>
  <c r="AB53" i="16"/>
  <c r="AB15" i="16"/>
  <c r="K53" i="16"/>
  <c r="Y53" i="16"/>
  <c r="Y15" i="16"/>
  <c r="G53" i="16"/>
  <c r="O53" i="16"/>
  <c r="AA32" i="16"/>
  <c r="AB32" i="16" s="1"/>
  <c r="Z26" i="16"/>
  <c r="AD19" i="16"/>
  <c r="R37" i="18" l="1"/>
  <c r="P37" i="18"/>
  <c r="N37" i="18"/>
  <c r="L37" i="18"/>
  <c r="J37" i="18"/>
  <c r="H37" i="18"/>
  <c r="AD36" i="18"/>
  <c r="Q37" i="18"/>
  <c r="O37" i="18"/>
  <c r="M37" i="18"/>
  <c r="K37" i="18"/>
  <c r="I37" i="18"/>
  <c r="G37" i="18"/>
  <c r="K55" i="17"/>
  <c r="O55" i="17"/>
  <c r="AD54" i="17"/>
  <c r="J55" i="17"/>
  <c r="N55" i="17"/>
  <c r="R55" i="17"/>
  <c r="AA32" i="17"/>
  <c r="AB32" i="17" s="1"/>
  <c r="Z26" i="17"/>
  <c r="I55" i="17"/>
  <c r="M55" i="17"/>
  <c r="Q55" i="17"/>
  <c r="H55" i="17"/>
  <c r="AD55" i="17" s="1"/>
  <c r="L55" i="17"/>
  <c r="R54" i="16"/>
  <c r="P54" i="16"/>
  <c r="N54" i="16"/>
  <c r="L54" i="16"/>
  <c r="J54" i="16"/>
  <c r="H54" i="16"/>
  <c r="AD53" i="16"/>
  <c r="Q54" i="16"/>
  <c r="M54" i="16"/>
  <c r="I54" i="16"/>
  <c r="K54" i="16"/>
  <c r="O54" i="16"/>
  <c r="G54" i="16"/>
  <c r="AD54" i="16" s="1"/>
  <c r="AA26" i="16"/>
  <c r="AB26" i="16" s="1"/>
  <c r="Z21" i="16"/>
  <c r="AA21" i="16" s="1"/>
  <c r="AB21" i="16" s="1"/>
  <c r="AD37" i="18" l="1"/>
  <c r="Z21" i="17"/>
  <c r="AA21" i="17" s="1"/>
  <c r="AB21" i="17" s="1"/>
  <c r="AA26" i="17"/>
  <c r="AB26" i="17" s="1"/>
  <c r="Z48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AA33" i="15"/>
  <c r="Z33" i="15"/>
  <c r="O33" i="15"/>
  <c r="K33" i="15"/>
  <c r="G33" i="15"/>
  <c r="AA32" i="15"/>
  <c r="Z32" i="15"/>
  <c r="Q32" i="15"/>
  <c r="P32" i="15"/>
  <c r="O32" i="15"/>
  <c r="N32" i="15"/>
  <c r="M32" i="15"/>
  <c r="L32" i="15"/>
  <c r="K32" i="15"/>
  <c r="J32" i="15"/>
  <c r="I32" i="15"/>
  <c r="H32" i="15"/>
  <c r="G32" i="15"/>
  <c r="Q33" i="15" s="1"/>
  <c r="F32" i="15"/>
  <c r="Y31" i="15"/>
  <c r="Z31" i="15" s="1"/>
  <c r="W31" i="15"/>
  <c r="AA28" i="15"/>
  <c r="Z28" i="15"/>
  <c r="AA27" i="15"/>
  <c r="Z27" i="15"/>
  <c r="Q27" i="15"/>
  <c r="P27" i="15"/>
  <c r="O27" i="15"/>
  <c r="N27" i="15"/>
  <c r="M27" i="15"/>
  <c r="L27" i="15"/>
  <c r="K27" i="15"/>
  <c r="J27" i="15"/>
  <c r="I27" i="15"/>
  <c r="H27" i="15"/>
  <c r="G27" i="15"/>
  <c r="Q28" i="15" s="1"/>
  <c r="F27" i="15"/>
  <c r="Y26" i="15"/>
  <c r="Z26" i="15" s="1"/>
  <c r="W26" i="15"/>
  <c r="AA23" i="15"/>
  <c r="Z23" i="15"/>
  <c r="O23" i="15"/>
  <c r="K23" i="15"/>
  <c r="G23" i="15"/>
  <c r="AA22" i="15"/>
  <c r="Z22" i="15"/>
  <c r="Q22" i="15"/>
  <c r="P22" i="15"/>
  <c r="O22" i="15"/>
  <c r="N22" i="15"/>
  <c r="M22" i="15"/>
  <c r="L22" i="15"/>
  <c r="K22" i="15"/>
  <c r="J22" i="15"/>
  <c r="I22" i="15"/>
  <c r="H22" i="15"/>
  <c r="G22" i="15"/>
  <c r="Q23" i="15" s="1"/>
  <c r="F22" i="15"/>
  <c r="Y21" i="15"/>
  <c r="Z21" i="15" s="1"/>
  <c r="W21" i="15"/>
  <c r="AA18" i="15"/>
  <c r="Z18" i="15"/>
  <c r="AA17" i="15"/>
  <c r="Z17" i="15"/>
  <c r="Q17" i="15"/>
  <c r="P17" i="15"/>
  <c r="O17" i="15"/>
  <c r="N17" i="15"/>
  <c r="M17" i="15"/>
  <c r="L17" i="15"/>
  <c r="L19" i="15" s="1"/>
  <c r="K17" i="15"/>
  <c r="J17" i="15"/>
  <c r="J19" i="15" s="1"/>
  <c r="I17" i="15"/>
  <c r="H17" i="15"/>
  <c r="H19" i="15" s="1"/>
  <c r="G17" i="15"/>
  <c r="F17" i="15"/>
  <c r="F19" i="15" s="1"/>
  <c r="Y16" i="15"/>
  <c r="Z16" i="15" s="1"/>
  <c r="W16" i="15"/>
  <c r="X16" i="15" s="1"/>
  <c r="R15" i="15"/>
  <c r="T16" i="15" s="1"/>
  <c r="I34" i="15" l="1"/>
  <c r="Q34" i="15"/>
  <c r="AA16" i="15"/>
  <c r="G19" i="15"/>
  <c r="I19" i="15"/>
  <c r="K19" i="15"/>
  <c r="M19" i="15"/>
  <c r="O19" i="15"/>
  <c r="Q19" i="15"/>
  <c r="AA21" i="15"/>
  <c r="M24" i="15"/>
  <c r="I18" i="15"/>
  <c r="M18" i="15"/>
  <c r="H24" i="15"/>
  <c r="P24" i="15"/>
  <c r="M28" i="15"/>
  <c r="J34" i="15"/>
  <c r="Q38" i="15"/>
  <c r="O38" i="15"/>
  <c r="M38" i="15"/>
  <c r="K38" i="15"/>
  <c r="I38" i="15"/>
  <c r="G38" i="15"/>
  <c r="J38" i="15"/>
  <c r="T41" i="15"/>
  <c r="G44" i="15" s="1"/>
  <c r="Q43" i="15"/>
  <c r="M44" i="15"/>
  <c r="Q44" i="15"/>
  <c r="I43" i="15"/>
  <c r="C7" i="15"/>
  <c r="Y15" i="15"/>
  <c r="Y48" i="15" s="1"/>
  <c r="N19" i="15"/>
  <c r="P19" i="15"/>
  <c r="F18" i="15"/>
  <c r="H18" i="15"/>
  <c r="J18" i="15"/>
  <c r="L18" i="15"/>
  <c r="N18" i="15"/>
  <c r="P18" i="15"/>
  <c r="X21" i="15"/>
  <c r="I23" i="15"/>
  <c r="M23" i="15"/>
  <c r="G28" i="15"/>
  <c r="K28" i="15"/>
  <c r="O28" i="15"/>
  <c r="I33" i="15"/>
  <c r="M33" i="15"/>
  <c r="H38" i="15"/>
  <c r="L38" i="15"/>
  <c r="P38" i="15"/>
  <c r="H44" i="15"/>
  <c r="L44" i="15"/>
  <c r="P44" i="15"/>
  <c r="G43" i="15"/>
  <c r="K43" i="15"/>
  <c r="O43" i="15"/>
  <c r="T36" i="15"/>
  <c r="H39" i="15" s="1"/>
  <c r="T31" i="15"/>
  <c r="T26" i="15"/>
  <c r="AA26" i="15" s="1"/>
  <c r="T21" i="15"/>
  <c r="G18" i="15"/>
  <c r="K18" i="15"/>
  <c r="O18" i="15"/>
  <c r="Q18" i="15"/>
  <c r="F24" i="15"/>
  <c r="J24" i="15"/>
  <c r="N24" i="15"/>
  <c r="I28" i="15"/>
  <c r="H34" i="15"/>
  <c r="L34" i="15"/>
  <c r="N34" i="15"/>
  <c r="N38" i="15"/>
  <c r="K44" i="15"/>
  <c r="M43" i="15"/>
  <c r="F23" i="15"/>
  <c r="H23" i="15"/>
  <c r="J23" i="15"/>
  <c r="L23" i="15"/>
  <c r="N23" i="15"/>
  <c r="P23" i="15"/>
  <c r="F28" i="15"/>
  <c r="H28" i="15"/>
  <c r="J28" i="15"/>
  <c r="L28" i="15"/>
  <c r="N28" i="15"/>
  <c r="P28" i="15"/>
  <c r="F29" i="15"/>
  <c r="H33" i="15"/>
  <c r="J33" i="15"/>
  <c r="L33" i="15"/>
  <c r="N33" i="15"/>
  <c r="P33" i="15"/>
  <c r="H43" i="15"/>
  <c r="J43" i="15"/>
  <c r="L43" i="15"/>
  <c r="N43" i="15"/>
  <c r="P43" i="15"/>
  <c r="O39" i="15" l="1"/>
  <c r="K39" i="15"/>
  <c r="G39" i="15"/>
  <c r="G48" i="15" s="1"/>
  <c r="P29" i="15"/>
  <c r="L29" i="15"/>
  <c r="H29" i="15"/>
  <c r="H48" i="15" s="1"/>
  <c r="T15" i="15"/>
  <c r="N39" i="15"/>
  <c r="J39" i="15"/>
  <c r="Q29" i="15"/>
  <c r="M29" i="15"/>
  <c r="I29" i="15"/>
  <c r="F33" i="15"/>
  <c r="F43" i="15" s="1"/>
  <c r="O24" i="15"/>
  <c r="O48" i="15" s="1"/>
  <c r="K24" i="15"/>
  <c r="K48" i="15" s="1"/>
  <c r="G24" i="15"/>
  <c r="O34" i="15"/>
  <c r="G34" i="15"/>
  <c r="K34" i="15"/>
  <c r="N44" i="15"/>
  <c r="J44" i="15"/>
  <c r="F44" i="15"/>
  <c r="Q39" i="15"/>
  <c r="M39" i="15"/>
  <c r="I39" i="15"/>
  <c r="X31" i="15"/>
  <c r="X15" i="15" s="1"/>
  <c r="N29" i="15"/>
  <c r="N48" i="15" s="1"/>
  <c r="J29" i="15"/>
  <c r="J48" i="15" s="1"/>
  <c r="O44" i="15"/>
  <c r="I44" i="15"/>
  <c r="F39" i="15"/>
  <c r="P34" i="15"/>
  <c r="P48" i="15" s="1"/>
  <c r="F34" i="15"/>
  <c r="F48" i="15" s="1"/>
  <c r="X26" i="15"/>
  <c r="X48" i="15" s="1"/>
  <c r="L24" i="15"/>
  <c r="Q24" i="15"/>
  <c r="Q48" i="15" s="1"/>
  <c r="I24" i="15"/>
  <c r="I48" i="15"/>
  <c r="P39" i="15"/>
  <c r="L39" i="15"/>
  <c r="M34" i="15"/>
  <c r="M48" i="15" s="1"/>
  <c r="AA31" i="15"/>
  <c r="AA15" i="15" s="1"/>
  <c r="O29" i="15"/>
  <c r="K29" i="15"/>
  <c r="F38" i="15"/>
  <c r="G29" i="15"/>
  <c r="K49" i="15" l="1"/>
  <c r="I49" i="15"/>
  <c r="G49" i="15"/>
  <c r="J49" i="15"/>
  <c r="H49" i="15"/>
  <c r="F49" i="15"/>
  <c r="AA48" i="15"/>
  <c r="L48" i="15"/>
  <c r="O49" i="15" s="1"/>
  <c r="Q49" i="15" l="1"/>
  <c r="L49" i="15"/>
  <c r="P49" i="15"/>
  <c r="M49" i="15"/>
  <c r="N49" i="15"/>
  <c r="Q49" i="14" l="1"/>
  <c r="P49" i="14"/>
  <c r="O49" i="14"/>
  <c r="N49" i="14"/>
  <c r="M49" i="14"/>
  <c r="L49" i="14"/>
  <c r="K49" i="14"/>
  <c r="I49" i="14"/>
  <c r="G49" i="14"/>
  <c r="F49" i="14"/>
  <c r="S48" i="14"/>
  <c r="K48" i="14"/>
  <c r="J48" i="14"/>
  <c r="J49" i="14" s="1"/>
  <c r="I48" i="14"/>
  <c r="H48" i="14"/>
  <c r="H49" i="14" s="1"/>
  <c r="G48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S43" i="14"/>
  <c r="R43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S34" i="14"/>
  <c r="R34" i="14"/>
  <c r="O31" i="14"/>
  <c r="K31" i="14"/>
  <c r="G31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S29" i="14"/>
  <c r="R29" i="14"/>
  <c r="P26" i="14"/>
  <c r="L26" i="14"/>
  <c r="H26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S24" i="14"/>
  <c r="R24" i="14"/>
  <c r="Q21" i="14"/>
  <c r="K21" i="14"/>
  <c r="G21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S19" i="14"/>
  <c r="R19" i="14"/>
  <c r="P16" i="14"/>
  <c r="L16" i="14"/>
  <c r="H16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S14" i="14"/>
  <c r="R14" i="14"/>
  <c r="J37" i="14" l="1"/>
  <c r="U14" i="14"/>
  <c r="S13" i="14"/>
  <c r="G17" i="14"/>
  <c r="K17" i="14"/>
  <c r="O17" i="14"/>
  <c r="Q36" i="14"/>
  <c r="O36" i="14"/>
  <c r="M36" i="14"/>
  <c r="K36" i="14"/>
  <c r="I36" i="14"/>
  <c r="G36" i="14"/>
  <c r="P36" i="14"/>
  <c r="L36" i="14"/>
  <c r="H36" i="14"/>
  <c r="L37" i="14"/>
  <c r="F36" i="14"/>
  <c r="N36" i="14"/>
  <c r="O45" i="14"/>
  <c r="K45" i="14"/>
  <c r="G45" i="14"/>
  <c r="M45" i="14"/>
  <c r="R48" i="14"/>
  <c r="O50" i="14"/>
  <c r="K50" i="14"/>
  <c r="G50" i="14"/>
  <c r="M50" i="14"/>
  <c r="Q16" i="14"/>
  <c r="O16" i="14"/>
  <c r="M16" i="14"/>
  <c r="K16" i="14"/>
  <c r="I16" i="14"/>
  <c r="G16" i="14"/>
  <c r="F16" i="14"/>
  <c r="J16" i="14"/>
  <c r="N16" i="14"/>
  <c r="F17" i="14"/>
  <c r="I21" i="14"/>
  <c r="M21" i="14"/>
  <c r="U24" i="14"/>
  <c r="I27" i="14"/>
  <c r="M27" i="14"/>
  <c r="Q27" i="14"/>
  <c r="J36" i="14"/>
  <c r="I45" i="14"/>
  <c r="Q45" i="14"/>
  <c r="I50" i="14"/>
  <c r="Q50" i="14"/>
  <c r="P21" i="14"/>
  <c r="N21" i="14"/>
  <c r="F21" i="14"/>
  <c r="H21" i="14"/>
  <c r="J21" i="14"/>
  <c r="L21" i="14"/>
  <c r="O21" i="14"/>
  <c r="Q26" i="14"/>
  <c r="O26" i="14"/>
  <c r="M26" i="14"/>
  <c r="K26" i="14"/>
  <c r="I26" i="14"/>
  <c r="G26" i="14"/>
  <c r="F26" i="14"/>
  <c r="J26" i="14"/>
  <c r="N26" i="14"/>
  <c r="F27" i="14"/>
  <c r="P31" i="14"/>
  <c r="N31" i="14"/>
  <c r="L31" i="14"/>
  <c r="J31" i="14"/>
  <c r="H31" i="14"/>
  <c r="I31" i="14"/>
  <c r="M31" i="14"/>
  <c r="Q31" i="14"/>
  <c r="U34" i="14"/>
  <c r="N37" i="14" s="1"/>
  <c r="G37" i="14"/>
  <c r="I37" i="14"/>
  <c r="K37" i="14"/>
  <c r="M37" i="14"/>
  <c r="O37" i="14"/>
  <c r="Q37" i="14"/>
  <c r="F31" i="14"/>
  <c r="F45" i="14"/>
  <c r="H45" i="14"/>
  <c r="J45" i="14"/>
  <c r="L45" i="14"/>
  <c r="N45" i="14"/>
  <c r="P45" i="14"/>
  <c r="F50" i="14"/>
  <c r="H50" i="14"/>
  <c r="J50" i="14"/>
  <c r="L50" i="14"/>
  <c r="N50" i="14"/>
  <c r="P50" i="14"/>
  <c r="P27" i="14" l="1"/>
  <c r="H27" i="14"/>
  <c r="L27" i="14"/>
  <c r="J27" i="14"/>
  <c r="P17" i="14"/>
  <c r="L17" i="14"/>
  <c r="H17" i="14"/>
  <c r="J17" i="14"/>
  <c r="F37" i="14"/>
  <c r="O27" i="14"/>
  <c r="K27" i="14"/>
  <c r="G27" i="14"/>
  <c r="P37" i="14"/>
  <c r="H37" i="14"/>
  <c r="N27" i="14"/>
  <c r="Q17" i="14"/>
  <c r="M17" i="14"/>
  <c r="I17" i="14"/>
  <c r="U52" i="14"/>
  <c r="U29" i="14"/>
  <c r="U19" i="14"/>
  <c r="D6" i="14"/>
  <c r="U48" i="14"/>
  <c r="U43" i="14"/>
  <c r="N17" i="14"/>
  <c r="I51" i="14" l="1"/>
  <c r="Q51" i="14"/>
  <c r="H51" i="14"/>
  <c r="O51" i="14"/>
  <c r="L51" i="14"/>
  <c r="L54" i="14" s="1"/>
  <c r="P51" i="14"/>
  <c r="M51" i="14"/>
  <c r="J51" i="14"/>
  <c r="G51" i="14"/>
  <c r="K51" i="14"/>
  <c r="F51" i="14"/>
  <c r="N51" i="14"/>
  <c r="M22" i="14"/>
  <c r="M54" i="14" s="1"/>
  <c r="Q22" i="14"/>
  <c r="G22" i="14"/>
  <c r="G54" i="14" s="1"/>
  <c r="O22" i="14"/>
  <c r="H22" i="14"/>
  <c r="L22" i="14"/>
  <c r="P22" i="14"/>
  <c r="I22" i="14"/>
  <c r="K22" i="14"/>
  <c r="K54" i="14" s="1"/>
  <c r="F22" i="14"/>
  <c r="J22" i="14"/>
  <c r="J54" i="14" s="1"/>
  <c r="N22" i="14"/>
  <c r="U13" i="14"/>
  <c r="I46" i="14"/>
  <c r="Q46" i="14"/>
  <c r="O46" i="14"/>
  <c r="H46" i="14"/>
  <c r="L46" i="14"/>
  <c r="P46" i="14"/>
  <c r="M46" i="14"/>
  <c r="G46" i="14"/>
  <c r="K46" i="14"/>
  <c r="F46" i="14"/>
  <c r="J46" i="14"/>
  <c r="N46" i="14"/>
  <c r="N54" i="14" s="1"/>
  <c r="O32" i="14"/>
  <c r="G32" i="14"/>
  <c r="K32" i="14"/>
  <c r="H32" i="14"/>
  <c r="H54" i="14" s="1"/>
  <c r="L32" i="14"/>
  <c r="P32" i="14"/>
  <c r="I32" i="14"/>
  <c r="Q32" i="14"/>
  <c r="F32" i="14"/>
  <c r="J32" i="14"/>
  <c r="N32" i="14"/>
  <c r="M32" i="14"/>
  <c r="O54" i="14"/>
  <c r="P54" i="14"/>
  <c r="F54" i="14" l="1"/>
  <c r="I54" i="14"/>
  <c r="Q54" i="14"/>
  <c r="Q55" i="14" l="1"/>
  <c r="O55" i="14"/>
  <c r="M55" i="14"/>
  <c r="K55" i="14"/>
  <c r="I55" i="14"/>
  <c r="G55" i="14"/>
  <c r="N55" i="14"/>
  <c r="J55" i="14"/>
  <c r="F55" i="14"/>
  <c r="P55" i="14"/>
  <c r="L55" i="14"/>
  <c r="H55" i="14"/>
  <c r="R82" i="13" l="1"/>
  <c r="P76" i="13"/>
  <c r="O76" i="13"/>
  <c r="N76" i="13"/>
  <c r="M76" i="13"/>
  <c r="L76" i="13"/>
  <c r="K76" i="13"/>
  <c r="J76" i="13"/>
  <c r="I76" i="13"/>
  <c r="H76" i="13"/>
  <c r="G76" i="13"/>
  <c r="F76" i="13"/>
  <c r="E76" i="13"/>
  <c r="Q75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V70" i="13"/>
  <c r="Q70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P67" i="13" s="1"/>
  <c r="V65" i="13"/>
  <c r="Q65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V60" i="13"/>
  <c r="P56" i="13"/>
  <c r="O56" i="13"/>
  <c r="N56" i="13"/>
  <c r="M56" i="13"/>
  <c r="L56" i="13"/>
  <c r="K56" i="13"/>
  <c r="J56" i="13"/>
  <c r="I56" i="13"/>
  <c r="H56" i="13"/>
  <c r="G56" i="13"/>
  <c r="F56" i="13"/>
  <c r="O57" i="13" s="1"/>
  <c r="E56" i="13"/>
  <c r="V55" i="13"/>
  <c r="Q55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L51" i="13" s="1"/>
  <c r="V49" i="13"/>
  <c r="Q49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P41" i="13" s="1"/>
  <c r="V39" i="13"/>
  <c r="Q39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Q34" i="13"/>
  <c r="Q35" i="13" s="1"/>
  <c r="P30" i="13"/>
  <c r="O30" i="13"/>
  <c r="N30" i="13"/>
  <c r="M30" i="13"/>
  <c r="L30" i="13"/>
  <c r="K30" i="13"/>
  <c r="J30" i="13"/>
  <c r="I30" i="13"/>
  <c r="H30" i="13"/>
  <c r="G30" i="13"/>
  <c r="F30" i="13"/>
  <c r="E30" i="13"/>
  <c r="P31" i="13" s="1"/>
  <c r="Q29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I26" i="13" s="1"/>
  <c r="V24" i="13"/>
  <c r="Q24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V19" i="13"/>
  <c r="Q19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Y14" i="13"/>
  <c r="Q14" i="13"/>
  <c r="R13" i="13"/>
  <c r="C6" i="13"/>
  <c r="T80" i="13" l="1"/>
  <c r="T70" i="13"/>
  <c r="T60" i="13"/>
  <c r="T55" i="13"/>
  <c r="T75" i="13"/>
  <c r="T65" i="13"/>
  <c r="T49" i="13"/>
  <c r="T34" i="13"/>
  <c r="T29" i="13"/>
  <c r="T39" i="13"/>
  <c r="F16" i="13"/>
  <c r="H16" i="13"/>
  <c r="J16" i="13"/>
  <c r="L16" i="13"/>
  <c r="N16" i="13"/>
  <c r="P16" i="13"/>
  <c r="T19" i="13"/>
  <c r="H22" i="13" s="1"/>
  <c r="F26" i="13"/>
  <c r="G32" i="13"/>
  <c r="I32" i="13"/>
  <c r="K32" i="13"/>
  <c r="M32" i="13"/>
  <c r="O32" i="13"/>
  <c r="F37" i="13"/>
  <c r="H37" i="13"/>
  <c r="J37" i="13"/>
  <c r="L37" i="13"/>
  <c r="N37" i="13"/>
  <c r="P37" i="13"/>
  <c r="F42" i="13"/>
  <c r="H42" i="13"/>
  <c r="J42" i="13"/>
  <c r="L42" i="13"/>
  <c r="N42" i="13"/>
  <c r="P42" i="13"/>
  <c r="T14" i="13"/>
  <c r="F17" i="13" s="1"/>
  <c r="E16" i="13"/>
  <c r="G16" i="13"/>
  <c r="I16" i="13"/>
  <c r="K16" i="13"/>
  <c r="M16" i="13"/>
  <c r="O16" i="13"/>
  <c r="T24" i="13"/>
  <c r="F27" i="13" s="1"/>
  <c r="P26" i="13"/>
  <c r="N26" i="13"/>
  <c r="L26" i="13"/>
  <c r="J26" i="13"/>
  <c r="H26" i="13"/>
  <c r="E27" i="13"/>
  <c r="O26" i="13"/>
  <c r="M26" i="13"/>
  <c r="K26" i="13"/>
  <c r="G27" i="13"/>
  <c r="K27" i="13"/>
  <c r="O27" i="13"/>
  <c r="E26" i="13"/>
  <c r="G26" i="13"/>
  <c r="F32" i="13"/>
  <c r="H32" i="13"/>
  <c r="J32" i="13"/>
  <c r="L32" i="13"/>
  <c r="N32" i="13"/>
  <c r="P32" i="13"/>
  <c r="E37" i="13"/>
  <c r="G37" i="13"/>
  <c r="I37" i="13"/>
  <c r="K37" i="13"/>
  <c r="M37" i="13"/>
  <c r="O37" i="13"/>
  <c r="G42" i="13"/>
  <c r="I42" i="13"/>
  <c r="K42" i="13"/>
  <c r="M42" i="13"/>
  <c r="O42" i="13"/>
  <c r="E31" i="13"/>
  <c r="G31" i="13"/>
  <c r="I31" i="13"/>
  <c r="K31" i="13"/>
  <c r="M31" i="13"/>
  <c r="O31" i="13"/>
  <c r="E32" i="13"/>
  <c r="F36" i="13"/>
  <c r="H36" i="13"/>
  <c r="J36" i="13"/>
  <c r="L36" i="13"/>
  <c r="N36" i="13"/>
  <c r="P36" i="13"/>
  <c r="E41" i="13"/>
  <c r="G41" i="13"/>
  <c r="I41" i="13"/>
  <c r="K41" i="13"/>
  <c r="M41" i="13"/>
  <c r="O41" i="13"/>
  <c r="E42" i="13"/>
  <c r="F52" i="13"/>
  <c r="H52" i="13"/>
  <c r="J52" i="13"/>
  <c r="L52" i="13"/>
  <c r="N52" i="13"/>
  <c r="P52" i="13"/>
  <c r="F51" i="13"/>
  <c r="H51" i="13"/>
  <c r="J51" i="13"/>
  <c r="H58" i="13"/>
  <c r="J58" i="13"/>
  <c r="L58" i="13"/>
  <c r="N58" i="13"/>
  <c r="P58" i="13"/>
  <c r="E63" i="13"/>
  <c r="G63" i="13"/>
  <c r="I63" i="13"/>
  <c r="K63" i="13"/>
  <c r="M63" i="13"/>
  <c r="O63" i="13"/>
  <c r="G68" i="13"/>
  <c r="I68" i="13"/>
  <c r="K68" i="13"/>
  <c r="M68" i="13"/>
  <c r="O68" i="13"/>
  <c r="E73" i="13"/>
  <c r="G73" i="13"/>
  <c r="I73" i="13"/>
  <c r="K73" i="13"/>
  <c r="M73" i="13"/>
  <c r="O73" i="13"/>
  <c r="F78" i="13"/>
  <c r="H78" i="13"/>
  <c r="J78" i="13"/>
  <c r="L78" i="13"/>
  <c r="N78" i="13"/>
  <c r="P78" i="13"/>
  <c r="F31" i="13"/>
  <c r="H31" i="13"/>
  <c r="J31" i="13"/>
  <c r="L31" i="13"/>
  <c r="N31" i="13"/>
  <c r="E36" i="13"/>
  <c r="G36" i="13"/>
  <c r="I36" i="13"/>
  <c r="K36" i="13"/>
  <c r="M36" i="13"/>
  <c r="O36" i="13"/>
  <c r="F41" i="13"/>
  <c r="H41" i="13"/>
  <c r="J41" i="13"/>
  <c r="L41" i="13"/>
  <c r="N41" i="13"/>
  <c r="P51" i="13"/>
  <c r="N51" i="13"/>
  <c r="E52" i="13"/>
  <c r="O51" i="13"/>
  <c r="M51" i="13"/>
  <c r="G52" i="13"/>
  <c r="I52" i="13"/>
  <c r="K52" i="13"/>
  <c r="M52" i="13"/>
  <c r="O52" i="13"/>
  <c r="E51" i="13"/>
  <c r="G51" i="13"/>
  <c r="I51" i="13"/>
  <c r="K51" i="13"/>
  <c r="E58" i="13"/>
  <c r="G58" i="13"/>
  <c r="I58" i="13"/>
  <c r="K58" i="13"/>
  <c r="M58" i="13"/>
  <c r="O58" i="13"/>
  <c r="F63" i="13"/>
  <c r="H63" i="13"/>
  <c r="J63" i="13"/>
  <c r="L63" i="13"/>
  <c r="N63" i="13"/>
  <c r="P63" i="13"/>
  <c r="F68" i="13"/>
  <c r="H68" i="13"/>
  <c r="J68" i="13"/>
  <c r="L68" i="13"/>
  <c r="N68" i="13"/>
  <c r="P68" i="13"/>
  <c r="F73" i="13"/>
  <c r="H73" i="13"/>
  <c r="J73" i="13"/>
  <c r="L73" i="13"/>
  <c r="N73" i="13"/>
  <c r="P73" i="13"/>
  <c r="E78" i="13"/>
  <c r="G78" i="13"/>
  <c r="I78" i="13"/>
  <c r="K78" i="13"/>
  <c r="M78" i="13"/>
  <c r="O78" i="13"/>
  <c r="F57" i="13"/>
  <c r="H57" i="13"/>
  <c r="J57" i="13"/>
  <c r="L57" i="13"/>
  <c r="N57" i="13"/>
  <c r="P57" i="13"/>
  <c r="F58" i="13"/>
  <c r="F62" i="13"/>
  <c r="H62" i="13"/>
  <c r="J62" i="13"/>
  <c r="L62" i="13"/>
  <c r="N62" i="13"/>
  <c r="P62" i="13"/>
  <c r="E67" i="13"/>
  <c r="G67" i="13"/>
  <c r="I67" i="13"/>
  <c r="K67" i="13"/>
  <c r="M67" i="13"/>
  <c r="O67" i="13"/>
  <c r="E68" i="13"/>
  <c r="F72" i="13"/>
  <c r="H72" i="13"/>
  <c r="J72" i="13"/>
  <c r="L72" i="13"/>
  <c r="N72" i="13"/>
  <c r="P72" i="13"/>
  <c r="F77" i="13"/>
  <c r="H77" i="13"/>
  <c r="J77" i="13"/>
  <c r="L77" i="13"/>
  <c r="N77" i="13"/>
  <c r="P77" i="13"/>
  <c r="E57" i="13"/>
  <c r="G57" i="13"/>
  <c r="I57" i="13"/>
  <c r="K57" i="13"/>
  <c r="M57" i="13"/>
  <c r="E62" i="13"/>
  <c r="G62" i="13"/>
  <c r="I62" i="13"/>
  <c r="K62" i="13"/>
  <c r="M62" i="13"/>
  <c r="O62" i="13"/>
  <c r="F67" i="13"/>
  <c r="H67" i="13"/>
  <c r="J67" i="13"/>
  <c r="L67" i="13"/>
  <c r="N67" i="13"/>
  <c r="E72" i="13"/>
  <c r="G72" i="13"/>
  <c r="I72" i="13"/>
  <c r="K72" i="13"/>
  <c r="M72" i="13"/>
  <c r="O72" i="13"/>
  <c r="E77" i="13"/>
  <c r="G77" i="13"/>
  <c r="I77" i="13"/>
  <c r="K77" i="13"/>
  <c r="M77" i="13"/>
  <c r="O77" i="13"/>
  <c r="M27" i="13" l="1"/>
  <c r="M81" i="13" s="1"/>
  <c r="I27" i="13"/>
  <c r="I81" i="13" s="1"/>
  <c r="P27" i="13"/>
  <c r="L27" i="13"/>
  <c r="L81" i="13" s="1"/>
  <c r="H27" i="13"/>
  <c r="E22" i="13"/>
  <c r="T13" i="13"/>
  <c r="O22" i="13"/>
  <c r="K22" i="13"/>
  <c r="G22" i="13"/>
  <c r="M17" i="13"/>
  <c r="I17" i="13"/>
  <c r="E17" i="13"/>
  <c r="E81" i="13" s="1"/>
  <c r="N22" i="13"/>
  <c r="J22" i="13"/>
  <c r="F22" i="13"/>
  <c r="F81" i="13" s="1"/>
  <c r="N17" i="13"/>
  <c r="J17" i="13"/>
  <c r="K81" i="13"/>
  <c r="P81" i="13"/>
  <c r="H81" i="13"/>
  <c r="T82" i="13"/>
  <c r="N27" i="13"/>
  <c r="N81" i="13" s="1"/>
  <c r="J27" i="13"/>
  <c r="J81" i="13" s="1"/>
  <c r="M22" i="13"/>
  <c r="I22" i="13"/>
  <c r="O17" i="13"/>
  <c r="O81" i="13" s="1"/>
  <c r="K17" i="13"/>
  <c r="G17" i="13"/>
  <c r="G81" i="13" s="1"/>
  <c r="P22" i="13"/>
  <c r="L22" i="13"/>
  <c r="P17" i="13"/>
  <c r="L17" i="13"/>
  <c r="H17" i="13"/>
  <c r="P82" i="13" l="1"/>
  <c r="N82" i="13"/>
  <c r="L82" i="13"/>
  <c r="J82" i="13"/>
  <c r="H82" i="13"/>
  <c r="F82" i="13"/>
  <c r="O82" i="13"/>
  <c r="M82" i="13"/>
  <c r="K82" i="13"/>
  <c r="I82" i="13"/>
  <c r="G82" i="13"/>
  <c r="E82" i="13"/>
  <c r="H32" i="11" l="1"/>
  <c r="N31" i="11"/>
  <c r="K31" i="11"/>
  <c r="H31" i="11"/>
  <c r="R30" i="11"/>
  <c r="R25" i="11"/>
  <c r="C25" i="11"/>
  <c r="P26" i="11" s="1"/>
  <c r="P21" i="11"/>
  <c r="N21" i="11"/>
  <c r="L21" i="11"/>
  <c r="J21" i="11"/>
  <c r="H21" i="11"/>
  <c r="F21" i="11"/>
  <c r="R20" i="11"/>
  <c r="T20" i="11" s="1"/>
  <c r="C20" i="11"/>
  <c r="Q21" i="11" s="1"/>
  <c r="T15" i="11"/>
  <c r="R15" i="11"/>
  <c r="C15" i="11"/>
  <c r="R14" i="11"/>
  <c r="B14" i="11"/>
  <c r="D6" i="11"/>
  <c r="P16" i="11" l="1"/>
  <c r="P18" i="11" s="1"/>
  <c r="N16" i="11"/>
  <c r="N18" i="11" s="1"/>
  <c r="L16" i="11"/>
  <c r="L18" i="11" s="1"/>
  <c r="J16" i="11"/>
  <c r="J18" i="11" s="1"/>
  <c r="H16" i="11"/>
  <c r="H18" i="11" s="1"/>
  <c r="F16" i="11"/>
  <c r="I16" i="11"/>
  <c r="I18" i="11" s="1"/>
  <c r="M16" i="11"/>
  <c r="M18" i="11" s="1"/>
  <c r="Q16" i="11"/>
  <c r="Q18" i="11" s="1"/>
  <c r="H23" i="11"/>
  <c r="L23" i="11"/>
  <c r="P23" i="11"/>
  <c r="H33" i="11"/>
  <c r="T25" i="11"/>
  <c r="T14" i="11" s="1"/>
  <c r="T30" i="11"/>
  <c r="N33" i="11" s="1"/>
  <c r="G16" i="11"/>
  <c r="G18" i="11" s="1"/>
  <c r="K16" i="11"/>
  <c r="K18" i="11" s="1"/>
  <c r="O16" i="11"/>
  <c r="O18" i="11" s="1"/>
  <c r="Q23" i="11"/>
  <c r="J23" i="11"/>
  <c r="N23" i="11"/>
  <c r="K33" i="11"/>
  <c r="G26" i="11"/>
  <c r="K26" i="11"/>
  <c r="K28" i="11" s="1"/>
  <c r="K35" i="11" s="1"/>
  <c r="O26" i="11"/>
  <c r="Q26" i="11"/>
  <c r="Q28" i="11" s="1"/>
  <c r="Q35" i="11" s="1"/>
  <c r="N32" i="11"/>
  <c r="F22" i="11"/>
  <c r="F23" i="11"/>
  <c r="I26" i="11"/>
  <c r="M26" i="11"/>
  <c r="M28" i="11" s="1"/>
  <c r="G21" i="11"/>
  <c r="G23" i="11" s="1"/>
  <c r="I21" i="11"/>
  <c r="I23" i="11" s="1"/>
  <c r="K21" i="11"/>
  <c r="K23" i="11" s="1"/>
  <c r="M21" i="11"/>
  <c r="M23" i="11" s="1"/>
  <c r="O21" i="11"/>
  <c r="O23" i="11" s="1"/>
  <c r="G22" i="11"/>
  <c r="K22" i="11"/>
  <c r="O22" i="11"/>
  <c r="F26" i="11"/>
  <c r="H26" i="11"/>
  <c r="H28" i="11" s="1"/>
  <c r="H35" i="11" s="1"/>
  <c r="J26" i="11"/>
  <c r="L26" i="11"/>
  <c r="L28" i="11" s="1"/>
  <c r="L35" i="11" s="1"/>
  <c r="N26" i="11"/>
  <c r="K32" i="11"/>
  <c r="M35" i="11" l="1"/>
  <c r="L22" i="11"/>
  <c r="N22" i="11"/>
  <c r="Q22" i="11"/>
  <c r="F18" i="11"/>
  <c r="P17" i="11"/>
  <c r="N17" i="11"/>
  <c r="L17" i="11"/>
  <c r="J17" i="11"/>
  <c r="H17" i="11"/>
  <c r="F17" i="11"/>
  <c r="O17" i="11"/>
  <c r="K17" i="11"/>
  <c r="G17" i="11"/>
  <c r="Q17" i="11"/>
  <c r="M17" i="11"/>
  <c r="I17" i="11"/>
  <c r="N28" i="11"/>
  <c r="N35" i="11" s="1"/>
  <c r="J28" i="11"/>
  <c r="J35" i="11" s="1"/>
  <c r="F28" i="11"/>
  <c r="F35" i="11" s="1"/>
  <c r="P27" i="11"/>
  <c r="N27" i="11"/>
  <c r="L27" i="11"/>
  <c r="J27" i="11"/>
  <c r="H27" i="11"/>
  <c r="F27" i="11"/>
  <c r="G27" i="11"/>
  <c r="Q27" i="11"/>
  <c r="O27" i="11"/>
  <c r="M27" i="11"/>
  <c r="K27" i="11"/>
  <c r="I27" i="11"/>
  <c r="M22" i="11"/>
  <c r="I22" i="11"/>
  <c r="I28" i="11"/>
  <c r="I35" i="11" s="1"/>
  <c r="P22" i="11"/>
  <c r="J22" i="11"/>
  <c r="O28" i="11"/>
  <c r="O35" i="11" s="1"/>
  <c r="G28" i="11"/>
  <c r="G35" i="11" s="1"/>
  <c r="H22" i="11"/>
  <c r="P28" i="11"/>
  <c r="P35" i="11" s="1"/>
  <c r="Q36" i="11" l="1"/>
  <c r="O36" i="11"/>
  <c r="M36" i="11"/>
  <c r="K36" i="11"/>
  <c r="I36" i="11"/>
  <c r="G36" i="11"/>
  <c r="P36" i="11"/>
  <c r="N36" i="11"/>
  <c r="L36" i="11"/>
  <c r="J36" i="11"/>
  <c r="H36" i="11"/>
  <c r="F36" i="11"/>
  <c r="AE65" i="10" l="1"/>
  <c r="AE63" i="10"/>
  <c r="AE68" i="10" s="1"/>
  <c r="AE72" i="10" s="1"/>
  <c r="AD46" i="10"/>
  <c r="Z45" i="10"/>
  <c r="AC42" i="10"/>
  <c r="AC41" i="10"/>
  <c r="Z41" i="10"/>
  <c r="AA41" i="10" s="1"/>
  <c r="AC40" i="10"/>
  <c r="AA40" i="10"/>
  <c r="Z40" i="10"/>
  <c r="Y39" i="10"/>
  <c r="Z39" i="10" s="1"/>
  <c r="AA39" i="10" s="1"/>
  <c r="W39" i="10"/>
  <c r="X39" i="10" s="1"/>
  <c r="Z36" i="10"/>
  <c r="AA36" i="10" s="1"/>
  <c r="AC35" i="10"/>
  <c r="AA35" i="10"/>
  <c r="Z35" i="10"/>
  <c r="Y34" i="10"/>
  <c r="Z34" i="10" s="1"/>
  <c r="AA34" i="10" s="1"/>
  <c r="W34" i="10"/>
  <c r="X34" i="10" s="1"/>
  <c r="Z31" i="10"/>
  <c r="AA31" i="10" s="1"/>
  <c r="AC30" i="10"/>
  <c r="AA30" i="10"/>
  <c r="Z30" i="10"/>
  <c r="Y29" i="10"/>
  <c r="Z29" i="10" s="1"/>
  <c r="W29" i="10"/>
  <c r="AA27" i="10"/>
  <c r="Z27" i="10"/>
  <c r="Z26" i="10"/>
  <c r="AA26" i="10" s="1"/>
  <c r="Q26" i="10"/>
  <c r="Q28" i="10" s="1"/>
  <c r="P26" i="10"/>
  <c r="P28" i="10" s="1"/>
  <c r="O26" i="10"/>
  <c r="O28" i="10" s="1"/>
  <c r="N26" i="10"/>
  <c r="N28" i="10" s="1"/>
  <c r="M26" i="10"/>
  <c r="M28" i="10" s="1"/>
  <c r="L26" i="10"/>
  <c r="L28" i="10" s="1"/>
  <c r="K26" i="10"/>
  <c r="K28" i="10" s="1"/>
  <c r="J26" i="10"/>
  <c r="J28" i="10" s="1"/>
  <c r="I26" i="10"/>
  <c r="I28" i="10" s="1"/>
  <c r="H26" i="10"/>
  <c r="H28" i="10" s="1"/>
  <c r="G26" i="10"/>
  <c r="G28" i="10" s="1"/>
  <c r="F26" i="10"/>
  <c r="F28" i="10" s="1"/>
  <c r="Z25" i="10"/>
  <c r="AA25" i="10" s="1"/>
  <c r="Y25" i="10"/>
  <c r="W25" i="10"/>
  <c r="T25" i="10"/>
  <c r="X25" i="10" s="1"/>
  <c r="Z22" i="10"/>
  <c r="AA22" i="10" s="1"/>
  <c r="F22" i="10"/>
  <c r="AA21" i="10"/>
  <c r="Z21" i="10"/>
  <c r="Q21" i="10"/>
  <c r="Q23" i="10" s="1"/>
  <c r="P21" i="10"/>
  <c r="O21" i="10"/>
  <c r="O23" i="10" s="1"/>
  <c r="N21" i="10"/>
  <c r="M21" i="10"/>
  <c r="M23" i="10" s="1"/>
  <c r="L21" i="10"/>
  <c r="K21" i="10"/>
  <c r="K23" i="10" s="1"/>
  <c r="J21" i="10"/>
  <c r="I21" i="10"/>
  <c r="I23" i="10" s="1"/>
  <c r="H21" i="10"/>
  <c r="G21" i="10"/>
  <c r="F21" i="10"/>
  <c r="AC20" i="10"/>
  <c r="Z20" i="10"/>
  <c r="Y20" i="10"/>
  <c r="W20" i="10"/>
  <c r="T20" i="10"/>
  <c r="AE17" i="10"/>
  <c r="AA17" i="10"/>
  <c r="Z17" i="10"/>
  <c r="G17" i="10"/>
  <c r="Z16" i="10"/>
  <c r="AA16" i="10" s="1"/>
  <c r="Q16" i="10"/>
  <c r="P16" i="10"/>
  <c r="O16" i="10"/>
  <c r="N16" i="10"/>
  <c r="M16" i="10"/>
  <c r="L16" i="10"/>
  <c r="J16" i="10"/>
  <c r="I16" i="10"/>
  <c r="H16" i="10"/>
  <c r="G16" i="10"/>
  <c r="F16" i="10"/>
  <c r="Y15" i="10"/>
  <c r="Z15" i="10" s="1"/>
  <c r="W15" i="10"/>
  <c r="K15" i="10"/>
  <c r="Y14" i="10"/>
  <c r="Y45" i="10" s="1"/>
  <c r="R14" i="10"/>
  <c r="T44" i="10" s="1"/>
  <c r="B14" i="10"/>
  <c r="D6" i="10"/>
  <c r="N22" i="10" l="1"/>
  <c r="G23" i="10"/>
  <c r="P22" i="10"/>
  <c r="L22" i="10"/>
  <c r="J22" i="10"/>
  <c r="H22" i="10"/>
  <c r="K16" i="10"/>
  <c r="AC15" i="10"/>
  <c r="P17" i="10"/>
  <c r="N17" i="10"/>
  <c r="L17" i="10"/>
  <c r="J17" i="10"/>
  <c r="H17" i="10"/>
  <c r="F17" i="10"/>
  <c r="AC16" i="10"/>
  <c r="I17" i="10"/>
  <c r="M17" i="10"/>
  <c r="Q17" i="10"/>
  <c r="P23" i="10"/>
  <c r="J23" i="10"/>
  <c r="N23" i="10"/>
  <c r="L23" i="10"/>
  <c r="H23" i="10"/>
  <c r="F23" i="10"/>
  <c r="X20" i="10"/>
  <c r="AA20" i="10"/>
  <c r="Q22" i="10"/>
  <c r="AC28" i="10"/>
  <c r="AC26" i="10"/>
  <c r="I27" i="10"/>
  <c r="O27" i="10"/>
  <c r="T15" i="10"/>
  <c r="L18" i="10" s="1"/>
  <c r="L45" i="10" s="1"/>
  <c r="AC21" i="10"/>
  <c r="G22" i="10"/>
  <c r="I22" i="10"/>
  <c r="K22" i="10"/>
  <c r="M22" i="10"/>
  <c r="O22" i="10"/>
  <c r="F27" i="10"/>
  <c r="H27" i="10"/>
  <c r="J27" i="10"/>
  <c r="L27" i="10"/>
  <c r="N27" i="10"/>
  <c r="P27" i="10"/>
  <c r="T29" i="10"/>
  <c r="X29" i="10" s="1"/>
  <c r="G27" i="10"/>
  <c r="K27" i="10"/>
  <c r="M27" i="10"/>
  <c r="Q27" i="10"/>
  <c r="X45" i="10" l="1"/>
  <c r="F18" i="10"/>
  <c r="F45" i="10" s="1"/>
  <c r="O18" i="10"/>
  <c r="O45" i="10" s="1"/>
  <c r="AA29" i="10"/>
  <c r="G18" i="10"/>
  <c r="G45" i="10" s="1"/>
  <c r="P18" i="10"/>
  <c r="P45" i="10" s="1"/>
  <c r="AC27" i="10"/>
  <c r="T14" i="10"/>
  <c r="H18" i="10"/>
  <c r="H45" i="10" s="1"/>
  <c r="AA15" i="10"/>
  <c r="Q18" i="10"/>
  <c r="Q45" i="10" s="1"/>
  <c r="M18" i="10"/>
  <c r="M45" i="10" s="1"/>
  <c r="K18" i="10"/>
  <c r="K45" i="10" s="1"/>
  <c r="O17" i="10"/>
  <c r="K17" i="10"/>
  <c r="I18" i="10"/>
  <c r="I45" i="10" s="1"/>
  <c r="X15" i="10"/>
  <c r="X14" i="10" s="1"/>
  <c r="N18" i="10"/>
  <c r="N45" i="10" s="1"/>
  <c r="J18" i="10"/>
  <c r="J45" i="10" s="1"/>
  <c r="AA45" i="10" l="1"/>
  <c r="AA14" i="10"/>
  <c r="P46" i="10"/>
  <c r="N46" i="10"/>
  <c r="L46" i="10"/>
  <c r="J46" i="10"/>
  <c r="H46" i="10"/>
  <c r="F46" i="10"/>
  <c r="Q46" i="10"/>
  <c r="O46" i="10"/>
  <c r="M46" i="10"/>
  <c r="K46" i="10"/>
  <c r="I46" i="10"/>
  <c r="G46" i="10"/>
  <c r="AC45" i="10"/>
  <c r="Z46" i="9" l="1"/>
  <c r="Z41" i="9"/>
  <c r="AA41" i="9" s="1"/>
  <c r="Z40" i="9"/>
  <c r="AA40" i="9" s="1"/>
  <c r="Q40" i="9"/>
  <c r="P40" i="9"/>
  <c r="P42" i="9" s="1"/>
  <c r="O40" i="9"/>
  <c r="N40" i="9"/>
  <c r="N42" i="9" s="1"/>
  <c r="M40" i="9"/>
  <c r="L40" i="9"/>
  <c r="L42" i="9" s="1"/>
  <c r="K40" i="9"/>
  <c r="J40" i="9"/>
  <c r="J42" i="9" s="1"/>
  <c r="I40" i="9"/>
  <c r="H40" i="9"/>
  <c r="H42" i="9" s="1"/>
  <c r="G40" i="9"/>
  <c r="F40" i="9"/>
  <c r="Z39" i="9"/>
  <c r="Y39" i="9"/>
  <c r="W39" i="9"/>
  <c r="T39" i="9"/>
  <c r="X39" i="9" s="1"/>
  <c r="J39" i="9"/>
  <c r="AA36" i="9"/>
  <c r="Z36" i="9"/>
  <c r="AA35" i="9"/>
  <c r="Z35" i="9"/>
  <c r="Y34" i="9"/>
  <c r="Z34" i="9" s="1"/>
  <c r="AA34" i="9" s="1"/>
  <c r="W34" i="9"/>
  <c r="X34" i="9" s="1"/>
  <c r="Z31" i="9"/>
  <c r="AA31" i="9" s="1"/>
  <c r="Z30" i="9"/>
  <c r="AA30" i="9" s="1"/>
  <c r="Z29" i="9"/>
  <c r="AA29" i="9" s="1"/>
  <c r="Y29" i="9"/>
  <c r="X29" i="9"/>
  <c r="W29" i="9"/>
  <c r="AA26" i="9"/>
  <c r="Z26" i="9"/>
  <c r="AA25" i="9"/>
  <c r="Z25" i="9"/>
  <c r="Q25" i="9"/>
  <c r="Q27" i="9" s="1"/>
  <c r="P25" i="9"/>
  <c r="O25" i="9"/>
  <c r="O27" i="9" s="1"/>
  <c r="N25" i="9"/>
  <c r="M25" i="9"/>
  <c r="M27" i="9" s="1"/>
  <c r="L25" i="9"/>
  <c r="K25" i="9"/>
  <c r="K27" i="9" s="1"/>
  <c r="J25" i="9"/>
  <c r="I25" i="9"/>
  <c r="I27" i="9" s="1"/>
  <c r="G25" i="9"/>
  <c r="G27" i="9" s="1"/>
  <c r="F25" i="9"/>
  <c r="Y24" i="9"/>
  <c r="Z24" i="9" s="1"/>
  <c r="AA24" i="9" s="1"/>
  <c r="W24" i="9"/>
  <c r="H24" i="9"/>
  <c r="H25" i="9" s="1"/>
  <c r="Z21" i="9"/>
  <c r="AA21" i="9" s="1"/>
  <c r="Z20" i="9"/>
  <c r="AA20" i="9" s="1"/>
  <c r="Q20" i="9"/>
  <c r="P20" i="9"/>
  <c r="P22" i="9" s="1"/>
  <c r="P46" i="9" s="1"/>
  <c r="O20" i="9"/>
  <c r="N20" i="9"/>
  <c r="N22" i="9" s="1"/>
  <c r="N46" i="9" s="1"/>
  <c r="M20" i="9"/>
  <c r="L20" i="9"/>
  <c r="L22" i="9" s="1"/>
  <c r="L46" i="9" s="1"/>
  <c r="K20" i="9"/>
  <c r="J20" i="9"/>
  <c r="J22" i="9" s="1"/>
  <c r="J46" i="9" s="1"/>
  <c r="I20" i="9"/>
  <c r="H20" i="9"/>
  <c r="H22" i="9" s="1"/>
  <c r="H46" i="9" s="1"/>
  <c r="G20" i="9"/>
  <c r="F20" i="9"/>
  <c r="Z19" i="9"/>
  <c r="Y19" i="9"/>
  <c r="W19" i="9"/>
  <c r="T19" i="9"/>
  <c r="X19" i="9" s="1"/>
  <c r="Y18" i="9"/>
  <c r="Y46" i="9" s="1"/>
  <c r="R18" i="9"/>
  <c r="T24" i="9" s="1"/>
  <c r="T18" i="9" s="1"/>
  <c r="G10" i="9"/>
  <c r="H10" i="9" s="1"/>
  <c r="I10" i="9" s="1"/>
  <c r="J10" i="9" s="1"/>
  <c r="K10" i="9" s="1"/>
  <c r="L10" i="9" s="1"/>
  <c r="M10" i="9" s="1"/>
  <c r="N10" i="9" s="1"/>
  <c r="O10" i="9" s="1"/>
  <c r="P10" i="9" s="1"/>
  <c r="Q10" i="9" s="1"/>
  <c r="F10" i="9"/>
  <c r="C7" i="9"/>
  <c r="X18" i="9" l="1"/>
  <c r="Q21" i="9"/>
  <c r="O21" i="9"/>
  <c r="M21" i="9"/>
  <c r="K21" i="9"/>
  <c r="I21" i="9"/>
  <c r="G21" i="9"/>
  <c r="H21" i="9"/>
  <c r="L21" i="9"/>
  <c r="P21" i="9"/>
  <c r="F22" i="9"/>
  <c r="F46" i="9" s="1"/>
  <c r="H27" i="9"/>
  <c r="F27" i="9"/>
  <c r="I26" i="9"/>
  <c r="M26" i="9"/>
  <c r="Q26" i="9"/>
  <c r="Q41" i="9"/>
  <c r="O41" i="9"/>
  <c r="M41" i="9"/>
  <c r="K41" i="9"/>
  <c r="I41" i="9"/>
  <c r="G41" i="9"/>
  <c r="H41" i="9"/>
  <c r="L41" i="9"/>
  <c r="P41" i="9"/>
  <c r="F42" i="9"/>
  <c r="AA19" i="9"/>
  <c r="G22" i="9"/>
  <c r="G46" i="9" s="1"/>
  <c r="I22" i="9"/>
  <c r="I46" i="9" s="1"/>
  <c r="K22" i="9"/>
  <c r="K46" i="9" s="1"/>
  <c r="M22" i="9"/>
  <c r="M46" i="9" s="1"/>
  <c r="O22" i="9"/>
  <c r="O46" i="9" s="1"/>
  <c r="Q22" i="9"/>
  <c r="Q46" i="9" s="1"/>
  <c r="F21" i="9"/>
  <c r="J21" i="9"/>
  <c r="N21" i="9"/>
  <c r="X24" i="9"/>
  <c r="X46" i="9" s="1"/>
  <c r="J27" i="9"/>
  <c r="L27" i="9"/>
  <c r="N27" i="9"/>
  <c r="P27" i="9"/>
  <c r="G26" i="9"/>
  <c r="K26" i="9"/>
  <c r="O26" i="9"/>
  <c r="AA39" i="9"/>
  <c r="G42" i="9"/>
  <c r="I42" i="9"/>
  <c r="K42" i="9"/>
  <c r="M42" i="9"/>
  <c r="O42" i="9"/>
  <c r="Q42" i="9"/>
  <c r="F41" i="9"/>
  <c r="J41" i="9"/>
  <c r="N41" i="9"/>
  <c r="F26" i="9"/>
  <c r="H26" i="9"/>
  <c r="J26" i="9"/>
  <c r="L26" i="9"/>
  <c r="N26" i="9"/>
  <c r="P26" i="9"/>
  <c r="AA46" i="9" l="1"/>
  <c r="AA18" i="9"/>
  <c r="Q47" i="9"/>
  <c r="O47" i="9"/>
  <c r="M47" i="9"/>
  <c r="K47" i="9"/>
  <c r="I47" i="9"/>
  <c r="G47" i="9"/>
  <c r="P47" i="9"/>
  <c r="N47" i="9"/>
  <c r="L47" i="9"/>
  <c r="J47" i="9"/>
  <c r="H47" i="9"/>
  <c r="F47" i="9"/>
  <c r="F18" i="7" l="1"/>
  <c r="F20" i="7" s="1"/>
  <c r="F17" i="7"/>
  <c r="Q16" i="7"/>
  <c r="Q18" i="7" s="1"/>
  <c r="Q20" i="7" s="1"/>
  <c r="P16" i="7"/>
  <c r="P18" i="7" s="1"/>
  <c r="P20" i="7" s="1"/>
  <c r="O16" i="7"/>
  <c r="O18" i="7" s="1"/>
  <c r="O20" i="7" s="1"/>
  <c r="N16" i="7"/>
  <c r="N18" i="7" s="1"/>
  <c r="N20" i="7" s="1"/>
  <c r="M16" i="7"/>
  <c r="M18" i="7" s="1"/>
  <c r="M20" i="7" s="1"/>
  <c r="L16" i="7"/>
  <c r="L18" i="7" s="1"/>
  <c r="L20" i="7" s="1"/>
  <c r="K16" i="7"/>
  <c r="K18" i="7" s="1"/>
  <c r="K20" i="7" s="1"/>
  <c r="J16" i="7"/>
  <c r="J18" i="7" s="1"/>
  <c r="J20" i="7" s="1"/>
  <c r="I16" i="7"/>
  <c r="I18" i="7" s="1"/>
  <c r="I20" i="7" s="1"/>
  <c r="H16" i="7"/>
  <c r="H18" i="7" s="1"/>
  <c r="H20" i="7" s="1"/>
  <c r="G16" i="7"/>
  <c r="P17" i="7" s="1"/>
  <c r="R14" i="7"/>
  <c r="B14" i="7"/>
  <c r="D6" i="7"/>
  <c r="F21" i="7" l="1"/>
  <c r="G17" i="7"/>
  <c r="I17" i="7"/>
  <c r="K17" i="7"/>
  <c r="M17" i="7"/>
  <c r="O17" i="7"/>
  <c r="Q17" i="7"/>
  <c r="G18" i="7"/>
  <c r="G20" i="7" s="1"/>
  <c r="N21" i="7" s="1"/>
  <c r="H17" i="7"/>
  <c r="J17" i="7"/>
  <c r="L17" i="7"/>
  <c r="N17" i="7"/>
  <c r="I21" i="7" l="1"/>
  <c r="M21" i="7"/>
  <c r="Q21" i="7"/>
  <c r="H21" i="7"/>
  <c r="L21" i="7"/>
  <c r="P21" i="7"/>
  <c r="G21" i="7"/>
  <c r="K21" i="7"/>
  <c r="O21" i="7"/>
  <c r="J21" i="7"/>
  <c r="Q21" i="6" l="1"/>
  <c r="P21" i="6"/>
  <c r="O21" i="6"/>
  <c r="N21" i="6"/>
  <c r="M21" i="6"/>
  <c r="L21" i="6"/>
  <c r="K21" i="6"/>
  <c r="J21" i="6"/>
  <c r="I21" i="6"/>
  <c r="H21" i="6"/>
  <c r="G21" i="6"/>
  <c r="F21" i="6"/>
  <c r="Q22" i="6" s="1"/>
  <c r="C21" i="6"/>
  <c r="W20" i="6"/>
  <c r="R20" i="6"/>
  <c r="T20" i="6" s="1"/>
  <c r="Q16" i="6"/>
  <c r="P16" i="6"/>
  <c r="O16" i="6"/>
  <c r="N16" i="6"/>
  <c r="M16" i="6"/>
  <c r="L16" i="6"/>
  <c r="K16" i="6"/>
  <c r="J16" i="6"/>
  <c r="I16" i="6"/>
  <c r="H16" i="6"/>
  <c r="G16" i="6"/>
  <c r="F16" i="6"/>
  <c r="Q17" i="6" s="1"/>
  <c r="C16" i="6"/>
  <c r="R14" i="6"/>
  <c r="W14" i="6" s="1"/>
  <c r="B14" i="6"/>
  <c r="D6" i="6"/>
  <c r="J18" i="6" l="1"/>
  <c r="J25" i="6" s="1"/>
  <c r="N18" i="6"/>
  <c r="N25" i="6" s="1"/>
  <c r="G23" i="6"/>
  <c r="I23" i="6"/>
  <c r="K23" i="6"/>
  <c r="M23" i="6"/>
  <c r="O23" i="6"/>
  <c r="Q23" i="6"/>
  <c r="G18" i="6"/>
  <c r="G25" i="6" s="1"/>
  <c r="K18" i="6"/>
  <c r="K25" i="6" s="1"/>
  <c r="O18" i="6"/>
  <c r="O25" i="6" s="1"/>
  <c r="H23" i="6"/>
  <c r="J23" i="6"/>
  <c r="L23" i="6"/>
  <c r="N23" i="6"/>
  <c r="P23" i="6"/>
  <c r="T15" i="6"/>
  <c r="H18" i="6" s="1"/>
  <c r="H25" i="6" s="1"/>
  <c r="F17" i="6"/>
  <c r="H17" i="6"/>
  <c r="J17" i="6"/>
  <c r="L17" i="6"/>
  <c r="N17" i="6"/>
  <c r="P17" i="6"/>
  <c r="F18" i="6"/>
  <c r="F25" i="6" s="1"/>
  <c r="F22" i="6"/>
  <c r="H22" i="6"/>
  <c r="J22" i="6"/>
  <c r="L22" i="6"/>
  <c r="N22" i="6"/>
  <c r="P22" i="6"/>
  <c r="F23" i="6"/>
  <c r="G17" i="6"/>
  <c r="I17" i="6"/>
  <c r="K17" i="6"/>
  <c r="M17" i="6"/>
  <c r="O17" i="6"/>
  <c r="G22" i="6"/>
  <c r="I22" i="6"/>
  <c r="K22" i="6"/>
  <c r="M22" i="6"/>
  <c r="O22" i="6"/>
  <c r="K26" i="6" l="1"/>
  <c r="G26" i="6"/>
  <c r="J26" i="6"/>
  <c r="H26" i="6"/>
  <c r="F26" i="6"/>
  <c r="Q18" i="6"/>
  <c r="Q25" i="6" s="1"/>
  <c r="M18" i="6"/>
  <c r="M25" i="6" s="1"/>
  <c r="O26" i="6" s="1"/>
  <c r="I18" i="6"/>
  <c r="I25" i="6" s="1"/>
  <c r="Q26" i="6" s="1"/>
  <c r="P18" i="6"/>
  <c r="P25" i="6" s="1"/>
  <c r="L18" i="6"/>
  <c r="L25" i="6" s="1"/>
  <c r="N26" i="6" l="1"/>
  <c r="L26" i="6"/>
  <c r="P26" i="6"/>
  <c r="I26" i="6"/>
  <c r="M26" i="6"/>
  <c r="Q21" i="4" l="1"/>
  <c r="Q23" i="4" s="1"/>
  <c r="P21" i="4"/>
  <c r="P23" i="4" s="1"/>
  <c r="O21" i="4"/>
  <c r="O23" i="4" s="1"/>
  <c r="N21" i="4"/>
  <c r="N23" i="4" s="1"/>
  <c r="M21" i="4"/>
  <c r="M23" i="4" s="1"/>
  <c r="L21" i="4"/>
  <c r="L23" i="4" s="1"/>
  <c r="K21" i="4"/>
  <c r="K23" i="4" s="1"/>
  <c r="J21" i="4"/>
  <c r="J23" i="4" s="1"/>
  <c r="I21" i="4"/>
  <c r="I23" i="4" s="1"/>
  <c r="H21" i="4"/>
  <c r="H23" i="4" s="1"/>
  <c r="G21" i="4"/>
  <c r="G23" i="4" s="1"/>
  <c r="F21" i="4"/>
  <c r="Q22" i="4" s="1"/>
  <c r="C21" i="4"/>
  <c r="T20" i="4"/>
  <c r="R20" i="4"/>
  <c r="Q16" i="4"/>
  <c r="Q18" i="4" s="1"/>
  <c r="Q25" i="4" s="1"/>
  <c r="P16" i="4"/>
  <c r="P18" i="4" s="1"/>
  <c r="P25" i="4" s="1"/>
  <c r="O16" i="4"/>
  <c r="O18" i="4" s="1"/>
  <c r="O25" i="4" s="1"/>
  <c r="N16" i="4"/>
  <c r="N18" i="4" s="1"/>
  <c r="N25" i="4" s="1"/>
  <c r="M16" i="4"/>
  <c r="M18" i="4" s="1"/>
  <c r="M25" i="4" s="1"/>
  <c r="L16" i="4"/>
  <c r="L18" i="4" s="1"/>
  <c r="L25" i="4" s="1"/>
  <c r="K16" i="4"/>
  <c r="K18" i="4" s="1"/>
  <c r="K25" i="4" s="1"/>
  <c r="J16" i="4"/>
  <c r="J18" i="4" s="1"/>
  <c r="J25" i="4" s="1"/>
  <c r="I16" i="4"/>
  <c r="I18" i="4" s="1"/>
  <c r="I25" i="4" s="1"/>
  <c r="H16" i="4"/>
  <c r="H18" i="4" s="1"/>
  <c r="H25" i="4" s="1"/>
  <c r="G16" i="4"/>
  <c r="G18" i="4" s="1"/>
  <c r="G25" i="4" s="1"/>
  <c r="F16" i="4"/>
  <c r="F18" i="4" s="1"/>
  <c r="F25" i="4" s="1"/>
  <c r="T15" i="4"/>
  <c r="R15" i="4"/>
  <c r="T14" i="4"/>
  <c r="R14" i="4"/>
  <c r="B14" i="4"/>
  <c r="D6" i="4"/>
  <c r="Q26" i="4" l="1"/>
  <c r="O26" i="4"/>
  <c r="M26" i="4"/>
  <c r="K26" i="4"/>
  <c r="I26" i="4"/>
  <c r="G26" i="4"/>
  <c r="P26" i="4"/>
  <c r="N26" i="4"/>
  <c r="L26" i="4"/>
  <c r="J26" i="4"/>
  <c r="H26" i="4"/>
  <c r="F26" i="4"/>
  <c r="G17" i="4"/>
  <c r="I17" i="4"/>
  <c r="K17" i="4"/>
  <c r="M17" i="4"/>
  <c r="O17" i="4"/>
  <c r="Q17" i="4"/>
  <c r="F22" i="4"/>
  <c r="H22" i="4"/>
  <c r="J22" i="4"/>
  <c r="L22" i="4"/>
  <c r="N22" i="4"/>
  <c r="P22" i="4"/>
  <c r="F23" i="4"/>
  <c r="F17" i="4"/>
  <c r="H17" i="4"/>
  <c r="J17" i="4"/>
  <c r="L17" i="4"/>
  <c r="N17" i="4"/>
  <c r="P17" i="4"/>
  <c r="G22" i="4"/>
  <c r="I22" i="4"/>
  <c r="K22" i="4"/>
  <c r="M22" i="4"/>
  <c r="O22" i="4"/>
  <c r="O125" i="3" l="1"/>
  <c r="K125" i="3"/>
  <c r="G125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Q123" i="3"/>
  <c r="N121" i="3"/>
  <c r="J121" i="3"/>
  <c r="F121" i="3"/>
  <c r="P120" i="3"/>
  <c r="O120" i="3"/>
  <c r="N120" i="3"/>
  <c r="M120" i="3"/>
  <c r="L120" i="3"/>
  <c r="K120" i="3"/>
  <c r="J120" i="3"/>
  <c r="I120" i="3"/>
  <c r="H120" i="3"/>
  <c r="G120" i="3"/>
  <c r="F120" i="3"/>
  <c r="P121" i="3" s="1"/>
  <c r="E120" i="3"/>
  <c r="Q119" i="3"/>
  <c r="O116" i="3"/>
  <c r="K116" i="3"/>
  <c r="G116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Q114" i="3"/>
  <c r="N112" i="3"/>
  <c r="J112" i="3"/>
  <c r="F112" i="3"/>
  <c r="P111" i="3"/>
  <c r="O111" i="3"/>
  <c r="N111" i="3"/>
  <c r="M111" i="3"/>
  <c r="L111" i="3"/>
  <c r="K111" i="3"/>
  <c r="J111" i="3"/>
  <c r="I111" i="3"/>
  <c r="H111" i="3"/>
  <c r="G111" i="3"/>
  <c r="F111" i="3"/>
  <c r="P112" i="3" s="1"/>
  <c r="E111" i="3"/>
  <c r="Q110" i="3"/>
  <c r="O108" i="3"/>
  <c r="K108" i="3"/>
  <c r="G108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Q106" i="3"/>
  <c r="P104" i="3"/>
  <c r="H104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Q102" i="3"/>
  <c r="I100" i="3"/>
  <c r="P99" i="3"/>
  <c r="O99" i="3"/>
  <c r="N99" i="3"/>
  <c r="M99" i="3"/>
  <c r="L99" i="3"/>
  <c r="K99" i="3"/>
  <c r="J99" i="3"/>
  <c r="I99" i="3"/>
  <c r="H99" i="3"/>
  <c r="G99" i="3"/>
  <c r="F99" i="3"/>
  <c r="E99" i="3"/>
  <c r="Q98" i="3"/>
  <c r="L95" i="3"/>
  <c r="H95" i="3"/>
  <c r="P94" i="3"/>
  <c r="P95" i="3" s="1"/>
  <c r="O94" i="3"/>
  <c r="O95" i="3" s="1"/>
  <c r="N94" i="3"/>
  <c r="N95" i="3" s="1"/>
  <c r="M94" i="3"/>
  <c r="M95" i="3" s="1"/>
  <c r="L94" i="3"/>
  <c r="K94" i="3"/>
  <c r="K95" i="3" s="1"/>
  <c r="J94" i="3"/>
  <c r="J95" i="3" s="1"/>
  <c r="I94" i="3"/>
  <c r="I95" i="3" s="1"/>
  <c r="H94" i="3"/>
  <c r="G94" i="3"/>
  <c r="G95" i="3" s="1"/>
  <c r="F94" i="3"/>
  <c r="F95" i="3" s="1"/>
  <c r="E94" i="3"/>
  <c r="E95" i="3" s="1"/>
  <c r="P91" i="3"/>
  <c r="O91" i="3"/>
  <c r="N91" i="3"/>
  <c r="M91" i="3"/>
  <c r="L91" i="3"/>
  <c r="K91" i="3"/>
  <c r="J91" i="3"/>
  <c r="I91" i="3"/>
  <c r="H91" i="3"/>
  <c r="G91" i="3"/>
  <c r="F91" i="3"/>
  <c r="E91" i="3"/>
  <c r="T90" i="3"/>
  <c r="Q90" i="3"/>
  <c r="N88" i="3"/>
  <c r="J88" i="3"/>
  <c r="F88" i="3"/>
  <c r="P87" i="3"/>
  <c r="O87" i="3"/>
  <c r="N87" i="3"/>
  <c r="M87" i="3"/>
  <c r="L87" i="3"/>
  <c r="K87" i="3"/>
  <c r="J87" i="3"/>
  <c r="I87" i="3"/>
  <c r="H87" i="3"/>
  <c r="G87" i="3"/>
  <c r="F87" i="3"/>
  <c r="E87" i="3"/>
  <c r="O88" i="3" s="1"/>
  <c r="R86" i="3"/>
  <c r="Q86" i="3"/>
  <c r="P84" i="3"/>
  <c r="H84" i="3"/>
  <c r="P83" i="3"/>
  <c r="O83" i="3"/>
  <c r="N83" i="3"/>
  <c r="M83" i="3"/>
  <c r="L83" i="3"/>
  <c r="K83" i="3"/>
  <c r="J83" i="3"/>
  <c r="I83" i="3"/>
  <c r="H83" i="3"/>
  <c r="G83" i="3"/>
  <c r="F83" i="3"/>
  <c r="E83" i="3"/>
  <c r="R82" i="3"/>
  <c r="R129" i="3" s="1"/>
  <c r="Q82" i="3"/>
  <c r="N79" i="3"/>
  <c r="J79" i="3"/>
  <c r="F79" i="3"/>
  <c r="P78" i="3"/>
  <c r="O78" i="3"/>
  <c r="N78" i="3"/>
  <c r="M78" i="3"/>
  <c r="L78" i="3"/>
  <c r="K78" i="3"/>
  <c r="J78" i="3"/>
  <c r="I78" i="3"/>
  <c r="H78" i="3"/>
  <c r="G78" i="3"/>
  <c r="F78" i="3"/>
  <c r="P79" i="3" s="1"/>
  <c r="E78" i="3"/>
  <c r="Q77" i="3"/>
  <c r="O74" i="3"/>
  <c r="K74" i="3"/>
  <c r="G74" i="3"/>
  <c r="P73" i="3"/>
  <c r="O73" i="3"/>
  <c r="N73" i="3"/>
  <c r="M73" i="3"/>
  <c r="L73" i="3"/>
  <c r="K73" i="3"/>
  <c r="J73" i="3"/>
  <c r="I73" i="3"/>
  <c r="H73" i="3"/>
  <c r="G73" i="3"/>
  <c r="F73" i="3"/>
  <c r="E73" i="3"/>
  <c r="V72" i="3"/>
  <c r="Q72" i="3"/>
  <c r="O69" i="3"/>
  <c r="K69" i="3"/>
  <c r="G69" i="3"/>
  <c r="P68" i="3"/>
  <c r="O68" i="3"/>
  <c r="N68" i="3"/>
  <c r="M68" i="3"/>
  <c r="L68" i="3"/>
  <c r="K68" i="3"/>
  <c r="J68" i="3"/>
  <c r="I68" i="3"/>
  <c r="H68" i="3"/>
  <c r="G68" i="3"/>
  <c r="F68" i="3"/>
  <c r="E68" i="3"/>
  <c r="V67" i="3"/>
  <c r="Q67" i="3"/>
  <c r="O62" i="3"/>
  <c r="K62" i="3"/>
  <c r="G62" i="3"/>
  <c r="P61" i="3"/>
  <c r="O61" i="3"/>
  <c r="N61" i="3"/>
  <c r="M61" i="3"/>
  <c r="L61" i="3"/>
  <c r="K61" i="3"/>
  <c r="J61" i="3"/>
  <c r="I61" i="3"/>
  <c r="H61" i="3"/>
  <c r="G61" i="3"/>
  <c r="F61" i="3"/>
  <c r="E61" i="3"/>
  <c r="V60" i="3"/>
  <c r="P56" i="3"/>
  <c r="L56" i="3"/>
  <c r="H56" i="3"/>
  <c r="V55" i="3"/>
  <c r="O55" i="3"/>
  <c r="O56" i="3" s="1"/>
  <c r="N55" i="3"/>
  <c r="N56" i="3" s="1"/>
  <c r="M55" i="3"/>
  <c r="M56" i="3" s="1"/>
  <c r="L55" i="3"/>
  <c r="K55" i="3"/>
  <c r="K56" i="3" s="1"/>
  <c r="J55" i="3"/>
  <c r="J56" i="3" s="1"/>
  <c r="I55" i="3"/>
  <c r="I56" i="3" s="1"/>
  <c r="H55" i="3"/>
  <c r="G55" i="3"/>
  <c r="G56" i="3" s="1"/>
  <c r="F55" i="3"/>
  <c r="F56" i="3" s="1"/>
  <c r="E55" i="3"/>
  <c r="E56" i="3" s="1"/>
  <c r="O51" i="3"/>
  <c r="K51" i="3"/>
  <c r="G51" i="3"/>
  <c r="P50" i="3"/>
  <c r="O50" i="3"/>
  <c r="N50" i="3"/>
  <c r="M50" i="3"/>
  <c r="L50" i="3"/>
  <c r="K50" i="3"/>
  <c r="J50" i="3"/>
  <c r="I50" i="3"/>
  <c r="H50" i="3"/>
  <c r="G50" i="3"/>
  <c r="F50" i="3"/>
  <c r="E50" i="3"/>
  <c r="V49" i="3"/>
  <c r="Q49" i="3"/>
  <c r="O41" i="3"/>
  <c r="K41" i="3"/>
  <c r="G41" i="3"/>
  <c r="P40" i="3"/>
  <c r="O40" i="3"/>
  <c r="N40" i="3"/>
  <c r="M40" i="3"/>
  <c r="L40" i="3"/>
  <c r="K40" i="3"/>
  <c r="J40" i="3"/>
  <c r="I40" i="3"/>
  <c r="H40" i="3"/>
  <c r="G40" i="3"/>
  <c r="F40" i="3"/>
  <c r="E40" i="3"/>
  <c r="V39" i="3"/>
  <c r="Q39" i="3"/>
  <c r="E36" i="3"/>
  <c r="P35" i="3"/>
  <c r="O35" i="3"/>
  <c r="N35" i="3"/>
  <c r="M35" i="3"/>
  <c r="L35" i="3"/>
  <c r="K35" i="3"/>
  <c r="J35" i="3"/>
  <c r="I35" i="3"/>
  <c r="H35" i="3"/>
  <c r="G35" i="3"/>
  <c r="F35" i="3"/>
  <c r="E35" i="3"/>
  <c r="T34" i="3"/>
  <c r="M37" i="3" s="1"/>
  <c r="Q34" i="3"/>
  <c r="Q35" i="3" s="1"/>
  <c r="P30" i="3"/>
  <c r="O30" i="3"/>
  <c r="N30" i="3"/>
  <c r="M30" i="3"/>
  <c r="L30" i="3"/>
  <c r="K30" i="3"/>
  <c r="J30" i="3"/>
  <c r="I30" i="3"/>
  <c r="H30" i="3"/>
  <c r="G30" i="3"/>
  <c r="F30" i="3"/>
  <c r="E30" i="3"/>
  <c r="Q29" i="3"/>
  <c r="P25" i="3"/>
  <c r="O25" i="3"/>
  <c r="N25" i="3"/>
  <c r="N27" i="3" s="1"/>
  <c r="M25" i="3"/>
  <c r="L25" i="3"/>
  <c r="K25" i="3"/>
  <c r="J25" i="3"/>
  <c r="J27" i="3" s="1"/>
  <c r="I25" i="3"/>
  <c r="I27" i="3" s="1"/>
  <c r="H25" i="3"/>
  <c r="H27" i="3" s="1"/>
  <c r="G25" i="3"/>
  <c r="G27" i="3" s="1"/>
  <c r="F25" i="3"/>
  <c r="F27" i="3" s="1"/>
  <c r="E25" i="3"/>
  <c r="P26" i="3" s="1"/>
  <c r="V24" i="3"/>
  <c r="T24" i="3"/>
  <c r="P27" i="3" s="1"/>
  <c r="Q24" i="3"/>
  <c r="P20" i="3"/>
  <c r="P22" i="3" s="1"/>
  <c r="O20" i="3"/>
  <c r="O22" i="3" s="1"/>
  <c r="N20" i="3"/>
  <c r="N22" i="3" s="1"/>
  <c r="M20" i="3"/>
  <c r="M22" i="3" s="1"/>
  <c r="L20" i="3"/>
  <c r="L22" i="3" s="1"/>
  <c r="K20" i="3"/>
  <c r="K22" i="3" s="1"/>
  <c r="J20" i="3"/>
  <c r="J22" i="3" s="1"/>
  <c r="I20" i="3"/>
  <c r="I22" i="3" s="1"/>
  <c r="H20" i="3"/>
  <c r="H22" i="3" s="1"/>
  <c r="G20" i="3"/>
  <c r="G22" i="3" s="1"/>
  <c r="F20" i="3"/>
  <c r="F22" i="3" s="1"/>
  <c r="E20" i="3"/>
  <c r="P21" i="3" s="1"/>
  <c r="V19" i="3"/>
  <c r="T19" i="3"/>
  <c r="Q19" i="3"/>
  <c r="P15" i="3"/>
  <c r="P17" i="3" s="1"/>
  <c r="O15" i="3"/>
  <c r="O17" i="3" s="1"/>
  <c r="N15" i="3"/>
  <c r="N17" i="3" s="1"/>
  <c r="M15" i="3"/>
  <c r="M17" i="3" s="1"/>
  <c r="L15" i="3"/>
  <c r="L17" i="3" s="1"/>
  <c r="K15" i="3"/>
  <c r="K17" i="3" s="1"/>
  <c r="J15" i="3"/>
  <c r="J17" i="3" s="1"/>
  <c r="I15" i="3"/>
  <c r="I17" i="3" s="1"/>
  <c r="H15" i="3"/>
  <c r="H17" i="3" s="1"/>
  <c r="G15" i="3"/>
  <c r="G17" i="3" s="1"/>
  <c r="F15" i="3"/>
  <c r="F17" i="3" s="1"/>
  <c r="E15" i="3"/>
  <c r="P16" i="3" s="1"/>
  <c r="Y14" i="3"/>
  <c r="T14" i="3"/>
  <c r="Q14" i="3"/>
  <c r="R13" i="3"/>
  <c r="C6" i="3"/>
  <c r="M42" i="3" l="1"/>
  <c r="I32" i="3"/>
  <c r="M32" i="3"/>
  <c r="E16" i="3"/>
  <c r="G16" i="3"/>
  <c r="I16" i="3"/>
  <c r="K16" i="3"/>
  <c r="M16" i="3"/>
  <c r="O16" i="3"/>
  <c r="E17" i="3"/>
  <c r="U17" i="3" s="1"/>
  <c r="E21" i="3"/>
  <c r="G21" i="3"/>
  <c r="I21" i="3"/>
  <c r="K21" i="3"/>
  <c r="M21" i="3"/>
  <c r="O21" i="3"/>
  <c r="E22" i="3"/>
  <c r="U22" i="3" s="1"/>
  <c r="K27" i="3"/>
  <c r="M27" i="3"/>
  <c r="O27" i="3"/>
  <c r="E26" i="3"/>
  <c r="G26" i="3"/>
  <c r="I26" i="3"/>
  <c r="K26" i="3"/>
  <c r="M26" i="3"/>
  <c r="O26" i="3"/>
  <c r="E27" i="3"/>
  <c r="L27" i="3"/>
  <c r="P31" i="3"/>
  <c r="N31" i="3"/>
  <c r="L31" i="3"/>
  <c r="J31" i="3"/>
  <c r="H31" i="3"/>
  <c r="F31" i="3"/>
  <c r="E31" i="3"/>
  <c r="I31" i="3"/>
  <c r="M31" i="3"/>
  <c r="E32" i="3"/>
  <c r="F37" i="3"/>
  <c r="H37" i="3"/>
  <c r="J37" i="3"/>
  <c r="L37" i="3"/>
  <c r="N37" i="3"/>
  <c r="P37" i="3"/>
  <c r="G36" i="3"/>
  <c r="K36" i="3"/>
  <c r="O36" i="3"/>
  <c r="G37" i="3"/>
  <c r="K37" i="3"/>
  <c r="O37" i="3"/>
  <c r="H42" i="3"/>
  <c r="L42" i="3"/>
  <c r="P42" i="3"/>
  <c r="O57" i="3"/>
  <c r="M57" i="3"/>
  <c r="K57" i="3"/>
  <c r="I57" i="3"/>
  <c r="G57" i="3"/>
  <c r="E57" i="3"/>
  <c r="N57" i="3"/>
  <c r="J57" i="3"/>
  <c r="F57" i="3"/>
  <c r="L57" i="3"/>
  <c r="M70" i="3"/>
  <c r="L80" i="3"/>
  <c r="M93" i="3"/>
  <c r="I93" i="3"/>
  <c r="E93" i="3"/>
  <c r="F93" i="3"/>
  <c r="N92" i="3"/>
  <c r="J92" i="3"/>
  <c r="F92" i="3"/>
  <c r="H93" i="3"/>
  <c r="J93" i="3"/>
  <c r="L93" i="3"/>
  <c r="N93" i="3"/>
  <c r="P93" i="3"/>
  <c r="L92" i="3"/>
  <c r="G93" i="3"/>
  <c r="O93" i="3"/>
  <c r="J97" i="3"/>
  <c r="H97" i="3"/>
  <c r="H96" i="3"/>
  <c r="I101" i="3"/>
  <c r="G122" i="3"/>
  <c r="K122" i="3"/>
  <c r="O122" i="3"/>
  <c r="T127" i="3"/>
  <c r="T123" i="3"/>
  <c r="T114" i="3"/>
  <c r="T106" i="3"/>
  <c r="T119" i="3"/>
  <c r="T110" i="3"/>
  <c r="T98" i="3"/>
  <c r="T55" i="3"/>
  <c r="H58" i="3" s="1"/>
  <c r="T102" i="3"/>
  <c r="T86" i="3"/>
  <c r="T77" i="3"/>
  <c r="T72" i="3"/>
  <c r="T67" i="3"/>
  <c r="T60" i="3"/>
  <c r="T29" i="3"/>
  <c r="F16" i="3"/>
  <c r="H16" i="3"/>
  <c r="J16" i="3"/>
  <c r="L16" i="3"/>
  <c r="N16" i="3"/>
  <c r="F21" i="3"/>
  <c r="H21" i="3"/>
  <c r="J21" i="3"/>
  <c r="L21" i="3"/>
  <c r="N21" i="3"/>
  <c r="F26" i="3"/>
  <c r="H26" i="3"/>
  <c r="J26" i="3"/>
  <c r="L26" i="3"/>
  <c r="N26" i="3"/>
  <c r="F32" i="3"/>
  <c r="H32" i="3"/>
  <c r="J32" i="3"/>
  <c r="L32" i="3"/>
  <c r="N32" i="3"/>
  <c r="P32" i="3"/>
  <c r="G31" i="3"/>
  <c r="K31" i="3"/>
  <c r="O31" i="3"/>
  <c r="P36" i="3"/>
  <c r="I36" i="3"/>
  <c r="M36" i="3"/>
  <c r="E37" i="3"/>
  <c r="I37" i="3"/>
  <c r="T39" i="3"/>
  <c r="P41" i="3"/>
  <c r="N41" i="3"/>
  <c r="L41" i="3"/>
  <c r="J41" i="3"/>
  <c r="H41" i="3"/>
  <c r="F41" i="3"/>
  <c r="E41" i="3"/>
  <c r="I41" i="3"/>
  <c r="M41" i="3"/>
  <c r="E42" i="3"/>
  <c r="T49" i="3"/>
  <c r="K52" i="3" s="1"/>
  <c r="P51" i="3"/>
  <c r="E52" i="3"/>
  <c r="N51" i="3"/>
  <c r="L51" i="3"/>
  <c r="J51" i="3"/>
  <c r="H51" i="3"/>
  <c r="F51" i="3"/>
  <c r="I52" i="3"/>
  <c r="E51" i="3"/>
  <c r="I51" i="3"/>
  <c r="M51" i="3"/>
  <c r="J58" i="3"/>
  <c r="H57" i="3"/>
  <c r="P57" i="3"/>
  <c r="F63" i="3"/>
  <c r="J63" i="3"/>
  <c r="N63" i="3"/>
  <c r="F70" i="3"/>
  <c r="H70" i="3"/>
  <c r="J70" i="3"/>
  <c r="L70" i="3"/>
  <c r="N70" i="3"/>
  <c r="P70" i="3"/>
  <c r="F75" i="3"/>
  <c r="J75" i="3"/>
  <c r="N75" i="3"/>
  <c r="G80" i="3"/>
  <c r="I80" i="3"/>
  <c r="K80" i="3"/>
  <c r="M80" i="3"/>
  <c r="O80" i="3"/>
  <c r="T82" i="3"/>
  <c r="L85" i="3" s="1"/>
  <c r="N84" i="3"/>
  <c r="J84" i="3"/>
  <c r="F84" i="3"/>
  <c r="N85" i="3"/>
  <c r="L84" i="3"/>
  <c r="H92" i="3"/>
  <c r="P92" i="3"/>
  <c r="K93" i="3"/>
  <c r="O96" i="3"/>
  <c r="M96" i="3"/>
  <c r="K96" i="3"/>
  <c r="I96" i="3"/>
  <c r="G96" i="3"/>
  <c r="E96" i="3"/>
  <c r="N96" i="3"/>
  <c r="J96" i="3"/>
  <c r="F96" i="3"/>
  <c r="L96" i="3"/>
  <c r="G97" i="3"/>
  <c r="K97" i="3"/>
  <c r="T94" i="3"/>
  <c r="L97" i="3" s="1"/>
  <c r="P96" i="3"/>
  <c r="J105" i="3"/>
  <c r="F126" i="3"/>
  <c r="J126" i="3"/>
  <c r="N126" i="3"/>
  <c r="F36" i="3"/>
  <c r="H36" i="3"/>
  <c r="J36" i="3"/>
  <c r="L36" i="3"/>
  <c r="N36" i="3"/>
  <c r="H52" i="3"/>
  <c r="L52" i="3"/>
  <c r="P52" i="3"/>
  <c r="Q55" i="3"/>
  <c r="P62" i="3"/>
  <c r="N62" i="3"/>
  <c r="L62" i="3"/>
  <c r="J62" i="3"/>
  <c r="H62" i="3"/>
  <c r="F62" i="3"/>
  <c r="E62" i="3"/>
  <c r="I62" i="3"/>
  <c r="M62" i="3"/>
  <c r="P69" i="3"/>
  <c r="N69" i="3"/>
  <c r="L69" i="3"/>
  <c r="J69" i="3"/>
  <c r="H69" i="3"/>
  <c r="F69" i="3"/>
  <c r="E69" i="3"/>
  <c r="I69" i="3"/>
  <c r="M69" i="3"/>
  <c r="E70" i="3"/>
  <c r="P74" i="3"/>
  <c r="N74" i="3"/>
  <c r="L74" i="3"/>
  <c r="J74" i="3"/>
  <c r="H74" i="3"/>
  <c r="F74" i="3"/>
  <c r="E74" i="3"/>
  <c r="I74" i="3"/>
  <c r="M74" i="3"/>
  <c r="H79" i="3"/>
  <c r="L79" i="3"/>
  <c r="E85" i="3"/>
  <c r="I85" i="3"/>
  <c r="M85" i="3"/>
  <c r="F89" i="3"/>
  <c r="J89" i="3"/>
  <c r="N89" i="3"/>
  <c r="H88" i="3"/>
  <c r="L88" i="3"/>
  <c r="P88" i="3"/>
  <c r="Q92" i="3"/>
  <c r="N97" i="3"/>
  <c r="P100" i="3"/>
  <c r="N100" i="3"/>
  <c r="L100" i="3"/>
  <c r="J100" i="3"/>
  <c r="H100" i="3"/>
  <c r="F100" i="3"/>
  <c r="O100" i="3"/>
  <c r="K100" i="3"/>
  <c r="G100" i="3"/>
  <c r="G101" i="3"/>
  <c r="K101" i="3"/>
  <c r="O101" i="3"/>
  <c r="E100" i="3"/>
  <c r="M100" i="3"/>
  <c r="F105" i="3"/>
  <c r="N104" i="3"/>
  <c r="J104" i="3"/>
  <c r="F104" i="3"/>
  <c r="H105" i="3"/>
  <c r="L105" i="3"/>
  <c r="N105" i="3"/>
  <c r="P105" i="3"/>
  <c r="L104" i="3"/>
  <c r="E113" i="3"/>
  <c r="I113" i="3"/>
  <c r="M113" i="3"/>
  <c r="F117" i="3"/>
  <c r="H117" i="3"/>
  <c r="J117" i="3"/>
  <c r="L117" i="3"/>
  <c r="N117" i="3"/>
  <c r="P117" i="3"/>
  <c r="E79" i="3"/>
  <c r="G79" i="3"/>
  <c r="I79" i="3"/>
  <c r="K79" i="3"/>
  <c r="M79" i="3"/>
  <c r="O79" i="3"/>
  <c r="E80" i="3"/>
  <c r="E84" i="3"/>
  <c r="G84" i="3"/>
  <c r="I84" i="3"/>
  <c r="K84" i="3"/>
  <c r="M84" i="3"/>
  <c r="O84" i="3"/>
  <c r="E88" i="3"/>
  <c r="G88" i="3"/>
  <c r="I88" i="3"/>
  <c r="K88" i="3"/>
  <c r="M88" i="3"/>
  <c r="E92" i="3"/>
  <c r="G92" i="3"/>
  <c r="I92" i="3"/>
  <c r="K92" i="3"/>
  <c r="M92" i="3"/>
  <c r="O92" i="3"/>
  <c r="M97" i="3"/>
  <c r="O97" i="3"/>
  <c r="Q94" i="3"/>
  <c r="F101" i="3"/>
  <c r="H101" i="3"/>
  <c r="J101" i="3"/>
  <c r="L101" i="3"/>
  <c r="N101" i="3"/>
  <c r="P101" i="3"/>
  <c r="E105" i="3"/>
  <c r="I109" i="3"/>
  <c r="H113" i="3"/>
  <c r="P113" i="3"/>
  <c r="I117" i="3"/>
  <c r="M117" i="3"/>
  <c r="H122" i="3"/>
  <c r="L122" i="3"/>
  <c r="P122" i="3"/>
  <c r="I126" i="3"/>
  <c r="G105" i="3"/>
  <c r="I105" i="3"/>
  <c r="K105" i="3"/>
  <c r="M105" i="3"/>
  <c r="O105" i="3"/>
  <c r="E104" i="3"/>
  <c r="G104" i="3"/>
  <c r="I104" i="3"/>
  <c r="K104" i="3"/>
  <c r="M104" i="3"/>
  <c r="O104" i="3"/>
  <c r="P108" i="3"/>
  <c r="N108" i="3"/>
  <c r="L108" i="3"/>
  <c r="J108" i="3"/>
  <c r="H108" i="3"/>
  <c r="F108" i="3"/>
  <c r="E108" i="3"/>
  <c r="I108" i="3"/>
  <c r="M108" i="3"/>
  <c r="E109" i="3"/>
  <c r="H112" i="3"/>
  <c r="L112" i="3"/>
  <c r="P116" i="3"/>
  <c r="N116" i="3"/>
  <c r="L116" i="3"/>
  <c r="J116" i="3"/>
  <c r="H116" i="3"/>
  <c r="F116" i="3"/>
  <c r="E116" i="3"/>
  <c r="I116" i="3"/>
  <c r="M116" i="3"/>
  <c r="E117" i="3"/>
  <c r="H121" i="3"/>
  <c r="L121" i="3"/>
  <c r="P125" i="3"/>
  <c r="N125" i="3"/>
  <c r="L125" i="3"/>
  <c r="J125" i="3"/>
  <c r="H125" i="3"/>
  <c r="F125" i="3"/>
  <c r="E125" i="3"/>
  <c r="I125" i="3"/>
  <c r="M125" i="3"/>
  <c r="E126" i="3"/>
  <c r="E112" i="3"/>
  <c r="G112" i="3"/>
  <c r="I112" i="3"/>
  <c r="K112" i="3"/>
  <c r="M112" i="3"/>
  <c r="O112" i="3"/>
  <c r="E121" i="3"/>
  <c r="G121" i="3"/>
  <c r="I121" i="3"/>
  <c r="K121" i="3"/>
  <c r="M121" i="3"/>
  <c r="O121" i="3"/>
  <c r="O63" i="3" l="1"/>
  <c r="G63" i="3"/>
  <c r="K63" i="3"/>
  <c r="O75" i="3"/>
  <c r="G75" i="3"/>
  <c r="K75" i="3"/>
  <c r="O89" i="3"/>
  <c r="K89" i="3"/>
  <c r="G89" i="3"/>
  <c r="M89" i="3"/>
  <c r="E89" i="3"/>
  <c r="I89" i="3"/>
  <c r="N113" i="3"/>
  <c r="N128" i="3" s="1"/>
  <c r="F113" i="3"/>
  <c r="J113" i="3"/>
  <c r="K109" i="3"/>
  <c r="O109" i="3"/>
  <c r="G109" i="3"/>
  <c r="K126" i="3"/>
  <c r="O126" i="3"/>
  <c r="G126" i="3"/>
  <c r="P109" i="3"/>
  <c r="L109" i="3"/>
  <c r="H109" i="3"/>
  <c r="U93" i="3"/>
  <c r="M75" i="3"/>
  <c r="M63" i="3"/>
  <c r="M58" i="3"/>
  <c r="I58" i="3"/>
  <c r="L58" i="3"/>
  <c r="G52" i="3"/>
  <c r="P85" i="3"/>
  <c r="P58" i="3"/>
  <c r="M126" i="3"/>
  <c r="L113" i="3"/>
  <c r="M109" i="3"/>
  <c r="U105" i="3"/>
  <c r="O113" i="3"/>
  <c r="K113" i="3"/>
  <c r="G113" i="3"/>
  <c r="U113" i="3" s="1"/>
  <c r="P89" i="3"/>
  <c r="L89" i="3"/>
  <c r="H89" i="3"/>
  <c r="O85" i="3"/>
  <c r="K85" i="3"/>
  <c r="G85" i="3"/>
  <c r="E75" i="3"/>
  <c r="E63" i="3"/>
  <c r="N52" i="3"/>
  <c r="J52" i="3"/>
  <c r="F52" i="3"/>
  <c r="U52" i="3" s="1"/>
  <c r="P126" i="3"/>
  <c r="L126" i="3"/>
  <c r="H126" i="3"/>
  <c r="I97" i="3"/>
  <c r="E97" i="3"/>
  <c r="J85" i="3"/>
  <c r="F85" i="3"/>
  <c r="U85" i="3" s="1"/>
  <c r="P75" i="3"/>
  <c r="L75" i="3"/>
  <c r="H75" i="3"/>
  <c r="P63" i="3"/>
  <c r="L63" i="3"/>
  <c r="H63" i="3"/>
  <c r="N58" i="3"/>
  <c r="F58" i="3"/>
  <c r="M52" i="3"/>
  <c r="O42" i="3"/>
  <c r="K42" i="3"/>
  <c r="G42" i="3"/>
  <c r="U37" i="3"/>
  <c r="T13" i="3"/>
  <c r="O70" i="3"/>
  <c r="G70" i="3"/>
  <c r="U70" i="3" s="1"/>
  <c r="K70" i="3"/>
  <c r="J80" i="3"/>
  <c r="N80" i="3"/>
  <c r="F80" i="3"/>
  <c r="Q88" i="3" s="1"/>
  <c r="E101" i="3"/>
  <c r="M101" i="3"/>
  <c r="N122" i="3"/>
  <c r="F122" i="3"/>
  <c r="F128" i="3" s="1"/>
  <c r="J122" i="3"/>
  <c r="J128" i="3" s="1"/>
  <c r="K117" i="3"/>
  <c r="U117" i="3" s="1"/>
  <c r="G117" i="3"/>
  <c r="O117" i="3"/>
  <c r="M122" i="3"/>
  <c r="I122" i="3"/>
  <c r="I128" i="3" s="1"/>
  <c r="E122" i="3"/>
  <c r="N109" i="3"/>
  <c r="J109" i="3"/>
  <c r="F109" i="3"/>
  <c r="U109" i="3" s="1"/>
  <c r="P97" i="3"/>
  <c r="F97" i="3"/>
  <c r="P80" i="3"/>
  <c r="H80" i="3"/>
  <c r="I75" i="3"/>
  <c r="I70" i="3"/>
  <c r="I63" i="3"/>
  <c r="O58" i="3"/>
  <c r="K58" i="3"/>
  <c r="G58" i="3"/>
  <c r="E58" i="3"/>
  <c r="N42" i="3"/>
  <c r="J42" i="3"/>
  <c r="F42" i="3"/>
  <c r="U42" i="3" s="1"/>
  <c r="U27" i="3"/>
  <c r="T129" i="3"/>
  <c r="O52" i="3"/>
  <c r="O32" i="3"/>
  <c r="K32" i="3"/>
  <c r="G32" i="3"/>
  <c r="U32" i="3" s="1"/>
  <c r="H85" i="3"/>
  <c r="I42" i="3"/>
  <c r="L128" i="3" l="1"/>
  <c r="M128" i="3"/>
  <c r="G128" i="3"/>
  <c r="K128" i="3"/>
  <c r="U89" i="3"/>
  <c r="U126" i="3"/>
  <c r="U58" i="3"/>
  <c r="U122" i="3"/>
  <c r="U101" i="3"/>
  <c r="U97" i="3"/>
  <c r="H128" i="3"/>
  <c r="P128" i="3"/>
  <c r="U63" i="3"/>
  <c r="U75" i="3"/>
  <c r="O128" i="3"/>
  <c r="U80" i="3"/>
  <c r="E128" i="3"/>
  <c r="P129" i="3" l="1"/>
  <c r="N129" i="3"/>
  <c r="L129" i="3"/>
  <c r="J129" i="3"/>
  <c r="H129" i="3"/>
  <c r="F129" i="3"/>
  <c r="O129" i="3"/>
  <c r="K129" i="3"/>
  <c r="G129" i="3"/>
  <c r="I129" i="3"/>
  <c r="E129" i="3"/>
  <c r="M129" i="3"/>
  <c r="Q21" i="2" l="1"/>
  <c r="Q23" i="2" s="1"/>
  <c r="P21" i="2"/>
  <c r="O21" i="2"/>
  <c r="O23" i="2" s="1"/>
  <c r="N21" i="2"/>
  <c r="M21" i="2"/>
  <c r="M23" i="2" s="1"/>
  <c r="L21" i="2"/>
  <c r="K21" i="2"/>
  <c r="K23" i="2" s="1"/>
  <c r="J21" i="2"/>
  <c r="I21" i="2"/>
  <c r="I23" i="2" s="1"/>
  <c r="H21" i="2"/>
  <c r="G21" i="2"/>
  <c r="G23" i="2" s="1"/>
  <c r="F21" i="2"/>
  <c r="Q22" i="2" s="1"/>
  <c r="Q16" i="2"/>
  <c r="Q18" i="2" s="1"/>
  <c r="Q26" i="2" s="1"/>
  <c r="P16" i="2"/>
  <c r="P18" i="2" s="1"/>
  <c r="O16" i="2"/>
  <c r="O18" i="2" s="1"/>
  <c r="O26" i="2" s="1"/>
  <c r="N16" i="2"/>
  <c r="N18" i="2" s="1"/>
  <c r="M16" i="2"/>
  <c r="M18" i="2" s="1"/>
  <c r="M26" i="2" s="1"/>
  <c r="L16" i="2"/>
  <c r="L18" i="2" s="1"/>
  <c r="K16" i="2"/>
  <c r="K18" i="2" s="1"/>
  <c r="K26" i="2" s="1"/>
  <c r="J16" i="2"/>
  <c r="J18" i="2" s="1"/>
  <c r="I16" i="2"/>
  <c r="I18" i="2" s="1"/>
  <c r="I26" i="2" s="1"/>
  <c r="H16" i="2"/>
  <c r="H18" i="2" s="1"/>
  <c r="G16" i="2"/>
  <c r="G18" i="2" s="1"/>
  <c r="G26" i="2" s="1"/>
  <c r="F16" i="2"/>
  <c r="F18" i="2" s="1"/>
  <c r="T15" i="2"/>
  <c r="R14" i="2"/>
  <c r="T20" i="2" s="1"/>
  <c r="B14" i="2"/>
  <c r="D6" i="2"/>
  <c r="H26" i="2" l="1"/>
  <c r="L26" i="2"/>
  <c r="P26" i="2"/>
  <c r="H23" i="2"/>
  <c r="J23" i="2"/>
  <c r="J26" i="2" s="1"/>
  <c r="L23" i="2"/>
  <c r="N23" i="2"/>
  <c r="N26" i="2" s="1"/>
  <c r="P23" i="2"/>
  <c r="G17" i="2"/>
  <c r="I17" i="2"/>
  <c r="K17" i="2"/>
  <c r="M17" i="2"/>
  <c r="O17" i="2"/>
  <c r="Q17" i="2"/>
  <c r="F22" i="2"/>
  <c r="H22" i="2"/>
  <c r="J22" i="2"/>
  <c r="L22" i="2"/>
  <c r="N22" i="2"/>
  <c r="P22" i="2"/>
  <c r="F23" i="2"/>
  <c r="F26" i="2" s="1"/>
  <c r="F17" i="2"/>
  <c r="H17" i="2"/>
  <c r="J17" i="2"/>
  <c r="L17" i="2"/>
  <c r="N17" i="2"/>
  <c r="P17" i="2"/>
  <c r="G22" i="2"/>
  <c r="I22" i="2"/>
  <c r="K22" i="2"/>
  <c r="M22" i="2"/>
  <c r="O22" i="2"/>
  <c r="Q27" i="2" l="1"/>
  <c r="O27" i="2"/>
  <c r="M27" i="2"/>
  <c r="K27" i="2"/>
  <c r="I27" i="2"/>
  <c r="G27" i="2"/>
  <c r="P27" i="2"/>
  <c r="N27" i="2"/>
  <c r="L27" i="2"/>
  <c r="J27" i="2"/>
  <c r="H27" i="2"/>
  <c r="F27" i="2"/>
  <c r="Q21" i="1" l="1"/>
  <c r="P21" i="1"/>
  <c r="O21" i="1"/>
  <c r="N21" i="1"/>
  <c r="M21" i="1"/>
  <c r="L21" i="1"/>
  <c r="K21" i="1"/>
  <c r="J21" i="1"/>
  <c r="I21" i="1"/>
  <c r="H21" i="1"/>
  <c r="G21" i="1"/>
  <c r="F21" i="1"/>
  <c r="Q22" i="1" s="1"/>
  <c r="Q16" i="1"/>
  <c r="P16" i="1"/>
  <c r="O16" i="1"/>
  <c r="N16" i="1"/>
  <c r="M16" i="1"/>
  <c r="L16" i="1"/>
  <c r="K16" i="1"/>
  <c r="J16" i="1"/>
  <c r="I16" i="1"/>
  <c r="H16" i="1"/>
  <c r="G16" i="1"/>
  <c r="F16" i="1"/>
  <c r="W15" i="1"/>
  <c r="R14" i="1"/>
  <c r="T20" i="1" s="1"/>
  <c r="B14" i="1"/>
  <c r="D6" i="1"/>
  <c r="H23" i="1" l="1"/>
  <c r="J23" i="1"/>
  <c r="L23" i="1"/>
  <c r="N23" i="1"/>
  <c r="P23" i="1"/>
  <c r="G23" i="1"/>
  <c r="I23" i="1"/>
  <c r="K23" i="1"/>
  <c r="M23" i="1"/>
  <c r="O23" i="1"/>
  <c r="Q23" i="1"/>
  <c r="G17" i="1"/>
  <c r="I17" i="1"/>
  <c r="K17" i="1"/>
  <c r="M17" i="1"/>
  <c r="O17" i="1"/>
  <c r="Q17" i="1"/>
  <c r="F22" i="1"/>
  <c r="H22" i="1"/>
  <c r="J22" i="1"/>
  <c r="L22" i="1"/>
  <c r="N22" i="1"/>
  <c r="P22" i="1"/>
  <c r="F23" i="1"/>
  <c r="T15" i="1"/>
  <c r="F18" i="1" s="1"/>
  <c r="F26" i="1" s="1"/>
  <c r="F17" i="1"/>
  <c r="H17" i="1"/>
  <c r="J17" i="1"/>
  <c r="L17" i="1"/>
  <c r="N17" i="1"/>
  <c r="P17" i="1"/>
  <c r="G22" i="1"/>
  <c r="I22" i="1"/>
  <c r="K22" i="1"/>
  <c r="M22" i="1"/>
  <c r="O22" i="1"/>
  <c r="F27" i="1" l="1"/>
  <c r="O18" i="1"/>
  <c r="O26" i="1" s="1"/>
  <c r="K18" i="1"/>
  <c r="K26" i="1" s="1"/>
  <c r="G18" i="1"/>
  <c r="G26" i="1" s="1"/>
  <c r="Q27" i="1" s="1"/>
  <c r="P18" i="1"/>
  <c r="P26" i="1" s="1"/>
  <c r="L18" i="1"/>
  <c r="L26" i="1" s="1"/>
  <c r="H18" i="1"/>
  <c r="H26" i="1" s="1"/>
  <c r="Q18" i="1"/>
  <c r="Q26" i="1" s="1"/>
  <c r="M18" i="1"/>
  <c r="M26" i="1" s="1"/>
  <c r="I18" i="1"/>
  <c r="I26" i="1" s="1"/>
  <c r="N18" i="1"/>
  <c r="N26" i="1" s="1"/>
  <c r="J18" i="1"/>
  <c r="J26" i="1" s="1"/>
  <c r="J27" i="1" l="1"/>
  <c r="N27" i="1"/>
  <c r="G27" i="1"/>
  <c r="K27" i="1"/>
  <c r="O27" i="1"/>
  <c r="H27" i="1"/>
  <c r="L27" i="1"/>
  <c r="P27" i="1"/>
  <c r="I27" i="1"/>
  <c r="M27" i="1"/>
  <c r="J21" i="13"/>
  <c r="H21" i="13"/>
  <c r="O21" i="13"/>
  <c r="K21" i="13"/>
  <c r="L21" i="13"/>
  <c r="I21" i="13"/>
  <c r="P21" i="13"/>
  <c r="G21" i="13"/>
  <c r="M21" i="13"/>
  <c r="F21" i="13"/>
  <c r="N21" i="13"/>
  <c r="E21" i="13"/>
</calcChain>
</file>

<file path=xl/comments1.xml><?xml version="1.0" encoding="utf-8"?>
<comments xmlns="http://schemas.openxmlformats.org/spreadsheetml/2006/main">
  <authors>
    <author>toshibaku</author>
  </authors>
  <commentList>
    <comment ref="R14" authorId="0">
      <text>
        <r>
          <rPr>
            <b/>
            <sz val="9"/>
            <color indexed="81"/>
            <rFont val="Tahoma"/>
            <family val="2"/>
          </rPr>
          <t>Anggaran Total sesuai dengan DPA</t>
        </r>
      </text>
    </comment>
    <comment ref="T14" authorId="0">
      <text>
        <r>
          <rPr>
            <sz val="9"/>
            <color indexed="81"/>
            <rFont val="Tahoma"/>
            <family val="2"/>
          </rPr>
          <t>prosentase keseluruhan dari sub kegiatan/paket pekerjaan =harus 100%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Target Kinerja sesuai dengan DPA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Sesuai dengan DPA</t>
        </r>
      </text>
    </comment>
    <comment ref="R15" authorId="0">
      <text>
        <r>
          <rPr>
            <sz val="9"/>
            <color indexed="81"/>
            <rFont val="Tahoma"/>
            <family val="2"/>
          </rPr>
          <t xml:space="preserve">Anggaran per sub kegiatan/paket pekerjaan (terdiri dari jumlah belanja pegawai, belanja barang dan jasa, dan belanja modal)
</t>
        </r>
      </text>
    </comment>
    <comment ref="T15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prosentase target bulan ke-n
</t>
        </r>
      </text>
    </comment>
    <comment ref="B17" authorId="0">
      <text>
        <r>
          <rPr>
            <sz val="9"/>
            <color indexed="81"/>
            <rFont val="Tahoma"/>
            <family val="2"/>
          </rPr>
          <t xml:space="preserve">jumlah prosentase sampai dengan bulan ke-n
</t>
        </r>
      </text>
    </comment>
    <comment ref="B18" authorId="0">
      <text>
        <r>
          <rPr>
            <sz val="9"/>
            <color indexed="81"/>
            <rFont val="Tahoma"/>
            <family val="2"/>
          </rPr>
          <t xml:space="preserve">prosentase target bulan ke-n dikalikan bobot (18)
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Target Kinerja sesuai dengan DPA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Sesuai dengan DPA</t>
        </r>
      </text>
    </comment>
    <comment ref="R20" authorId="0">
      <text>
        <r>
          <rPr>
            <sz val="9"/>
            <color indexed="81"/>
            <rFont val="Tahoma"/>
            <family val="2"/>
          </rPr>
          <t xml:space="preserve">Anggaran per sub kegiatan/paket pekerjaan (terdiri dari jumlah belanja pegawai, belanja barang dan jasa, dan belanja modal)
</t>
        </r>
      </text>
    </comment>
    <comment ref="T20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B21" authorId="0">
      <text>
        <r>
          <rPr>
            <sz val="9"/>
            <color indexed="81"/>
            <rFont val="Tahoma"/>
            <family val="2"/>
          </rPr>
          <t xml:space="preserve">prosentase target bulan ke-n
</t>
        </r>
      </text>
    </comment>
    <comment ref="B22" authorId="0">
      <text>
        <r>
          <rPr>
            <sz val="9"/>
            <color indexed="81"/>
            <rFont val="Tahoma"/>
            <family val="2"/>
          </rPr>
          <t xml:space="preserve">jumlah prosentase sampai dengan bulan ke-n
</t>
        </r>
      </text>
    </comment>
    <comment ref="B23" authorId="0">
      <text>
        <r>
          <rPr>
            <sz val="9"/>
            <color indexed="81"/>
            <rFont val="Tahoma"/>
            <family val="2"/>
          </rPr>
          <t xml:space="preserve">prosentase target bulan ke-n dikalikan bobot (18)
</t>
        </r>
      </text>
    </comment>
  </commentList>
</comments>
</file>

<file path=xl/comments10.xml><?xml version="1.0" encoding="utf-8"?>
<comments xmlns="http://schemas.openxmlformats.org/spreadsheetml/2006/main">
  <authors>
    <author>Windows User</author>
    <author>toshibaku</author>
    <author>Valued Acer Customer</author>
    <author>MERAHPC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anggaran = 318,900,000</t>
        </r>
      </text>
    </comment>
    <comment ref="T13" authorId="1">
      <text>
        <r>
          <rPr>
            <sz val="9"/>
            <color indexed="81"/>
            <rFont val="Tahoma"/>
            <family val="2"/>
          </rPr>
          <t>prosentase keseluruhan dari sub kegiatan/paket pekerjaan =harus 100%</t>
        </r>
      </text>
    </comment>
    <comment ref="E1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pembuatan SK Tim, koordinasi persiapan, pemrosesan hukuman disiplin</t>
        </r>
      </text>
    </comment>
    <comment ref="F1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inventarisasi masalah,koordinasi, pembinaan,  pemrosesan hukuman disiplin</t>
        </r>
      </text>
    </comment>
    <comment ref="G1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koordinasi, pembinaan, pemrosesan hukuman disiplin</t>
        </r>
      </text>
    </comment>
    <comment ref="H15" authorId="1">
      <text>
        <r>
          <rPr>
            <sz val="9"/>
            <color indexed="81"/>
            <rFont val="Tahoma"/>
            <family val="2"/>
          </rPr>
          <t>pelaksanaan evaluasi dengan pihak terkait,
koordinasi, pembinaan,  pemrosesan hukuman disiplin</t>
        </r>
      </text>
    </comment>
    <comment ref="I15" authorId="1">
      <text>
        <r>
          <rPr>
            <sz val="9"/>
            <color indexed="81"/>
            <rFont val="Tahoma"/>
            <family val="2"/>
          </rPr>
          <t>koordinasi, pembinaan,  pemrosesan hukuman disiplin</t>
        </r>
      </text>
    </comment>
    <comment ref="J15" authorId="1">
      <text>
        <r>
          <rPr>
            <sz val="9"/>
            <color indexed="81"/>
            <rFont val="Tahoma"/>
            <family val="2"/>
          </rPr>
          <t>persiapan pelaksanaan evaluasi ke-2, inventarisasi masalah,koordinasi, pembinaan, pemrosesan hukuman disiplin</t>
        </r>
      </text>
    </comment>
    <comment ref="K1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koordinasi, pembinaan,  pemrosesan hukuman disiplin</t>
        </r>
      </text>
    </comment>
    <comment ref="L1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koordinasi, pembinaan,  pemrosesan hukuman disiplin</t>
        </r>
      </text>
    </comment>
    <comment ref="M1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inventarisasi masalah,koordinasi, pembinaan,pemrosesan hukuman disiplin</t>
        </r>
      </text>
    </comment>
    <comment ref="N1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persiapan pelaksanaan evaluasi ke-3, inventarisasi masalah,koordinasi, pembinaan, pemrosesan hukuman disiplin</t>
        </r>
      </text>
    </comment>
    <comment ref="O1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P15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E20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pembuatan SK Tim, koordinasi persiapan, pemrosesan hukuman disiplin</t>
        </r>
      </text>
    </comment>
    <comment ref="F20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inventarisasi masalah,koordinasi, pembinaan,  pemrosesan hukuman disiplin</t>
        </r>
      </text>
    </comment>
    <comment ref="G20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koordinasi, pembinaan, pemrosesan hukuman disiplin</t>
        </r>
      </text>
    </comment>
    <comment ref="H20" authorId="1">
      <text>
        <r>
          <rPr>
            <sz val="9"/>
            <color indexed="81"/>
            <rFont val="Tahoma"/>
            <family val="2"/>
          </rPr>
          <t>pelaksanaan evaluasi dengan pihak terkait,
koordinasi, pembinaan,  pemrosesan hukuman disiplin</t>
        </r>
      </text>
    </comment>
    <comment ref="I20" authorId="1">
      <text>
        <r>
          <rPr>
            <sz val="9"/>
            <color indexed="81"/>
            <rFont val="Tahoma"/>
            <family val="2"/>
          </rPr>
          <t>koordinasi, pembinaan,  pemrosesan hukuman disiplin</t>
        </r>
      </text>
    </comment>
    <comment ref="J20" authorId="1">
      <text>
        <r>
          <rPr>
            <sz val="9"/>
            <color indexed="81"/>
            <rFont val="Tahoma"/>
            <family val="2"/>
          </rPr>
          <t>persiapan pelaksanaan evaluasi ke-2, inventarisasi masalah,koordinasi, pembinaan, pemrosesan hukuman disiplin</t>
        </r>
      </text>
    </comment>
    <comment ref="K20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koordinasi, pembinaan,  pemrosesan hukuman disiplin</t>
        </r>
      </text>
    </comment>
    <comment ref="L20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koordinasi, pembinaan,  pemrosesan hukuman disiplin</t>
        </r>
      </text>
    </comment>
    <comment ref="M20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inventarisasi masalah,koordinasi, pembinaan,pemrosesan hukuman disiplin</t>
        </r>
      </text>
    </comment>
    <comment ref="N20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persiapan pelaksanaan evaluasi ke-3, inventarisasi masalah,koordinasi, pembinaan, pemrosesan hukuman disiplin</t>
        </r>
      </text>
    </comment>
    <comment ref="O20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P20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E2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F2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G2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H2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I2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J2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K2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L2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M2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N2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O2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P25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E30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pembuatan SK Tim, koordinasi persiapan, pemrosesan hukuman disiplin</t>
        </r>
      </text>
    </comment>
    <comment ref="F30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inventarisasi masalah,koordinasi, pembinaan,  pemrosesan hukuman disiplin</t>
        </r>
      </text>
    </comment>
    <comment ref="G30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koordinasi, pembinaan, pemrosesan hukuman disiplin</t>
        </r>
      </text>
    </comment>
    <comment ref="H30" authorId="1">
      <text>
        <r>
          <rPr>
            <sz val="9"/>
            <color indexed="81"/>
            <rFont val="Tahoma"/>
            <family val="2"/>
          </rPr>
          <t>pelaksanaan evaluasi dengan pihak terkait,
koordinasi, pembinaan,  pemrosesan hukuman disiplin</t>
        </r>
      </text>
    </comment>
    <comment ref="I30" authorId="1">
      <text>
        <r>
          <rPr>
            <sz val="9"/>
            <color indexed="81"/>
            <rFont val="Tahoma"/>
            <family val="2"/>
          </rPr>
          <t>koordinasi, pembinaan,  pemrosesan hukuman disiplin</t>
        </r>
      </text>
    </comment>
    <comment ref="J30" authorId="1">
      <text>
        <r>
          <rPr>
            <sz val="9"/>
            <color indexed="81"/>
            <rFont val="Tahoma"/>
            <family val="2"/>
          </rPr>
          <t>persiapan pelaksanaan evaluasi ke-2, inventarisasi masalah,koordinasi, pembinaan, pemrosesan hukuman disiplin</t>
        </r>
      </text>
    </comment>
    <comment ref="K30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koordinasi, pembinaan,  pemrosesan hukuman disiplin</t>
        </r>
      </text>
    </comment>
    <comment ref="L30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koordinasi, pembinaan,  pemrosesan hukuman disiplin</t>
        </r>
      </text>
    </comment>
    <comment ref="M30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inventarisasi masalah,koordinasi, pembinaan,pemrosesan hukuman disiplin</t>
        </r>
      </text>
    </comment>
    <comment ref="N30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persiapan pelaksanaan evaluasi ke-3, inventarisasi masalah,koordinasi, pembinaan, pemrosesan hukuman disiplin</t>
        </r>
      </text>
    </comment>
    <comment ref="O30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P30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E3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pembuatan SK Tim, koordinasi persiapan, pemrosesan hukuman disiplin</t>
        </r>
      </text>
    </comment>
    <comment ref="F3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inventarisasi masalah,koordinasi, pembinaan,  pemrosesan hukuman disiplin</t>
        </r>
      </text>
    </comment>
    <comment ref="G3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koordinasi, pembinaan, pemrosesan hukuman disiplin</t>
        </r>
      </text>
    </comment>
    <comment ref="H35" authorId="1">
      <text>
        <r>
          <rPr>
            <sz val="9"/>
            <color indexed="81"/>
            <rFont val="Tahoma"/>
            <family val="2"/>
          </rPr>
          <t>pelaksanaan evaluasi dengan pihak terkait,
koordinasi, pembinaan,  pemrosesan hukuman disiplin</t>
        </r>
      </text>
    </comment>
    <comment ref="I35" authorId="1">
      <text>
        <r>
          <rPr>
            <sz val="9"/>
            <color indexed="81"/>
            <rFont val="Tahoma"/>
            <family val="2"/>
          </rPr>
          <t>koordinasi, pembinaan,  pemrosesan hukuman disiplin</t>
        </r>
      </text>
    </comment>
    <comment ref="J35" authorId="1">
      <text>
        <r>
          <rPr>
            <sz val="9"/>
            <color indexed="81"/>
            <rFont val="Tahoma"/>
            <family val="2"/>
          </rPr>
          <t>persiapan pelaksanaan evaluasi ke-2, inventarisasi masalah,koordinasi, pembinaan, pemrosesan hukuman disiplin</t>
        </r>
      </text>
    </comment>
    <comment ref="K3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koordinasi, pembinaan,  pemrosesan hukuman disiplin</t>
        </r>
      </text>
    </comment>
    <comment ref="L3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koordinasi, pembinaan,  pemrosesan hukuman disiplin</t>
        </r>
      </text>
    </comment>
    <comment ref="M3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inventarisasi masalah,koordinasi, pembinaan,pemrosesan hukuman disiplin</t>
        </r>
      </text>
    </comment>
    <comment ref="N3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persiapan pelaksanaan evaluasi ke-3, inventarisasi masalah,koordinasi, pembinaan, pemrosesan hukuman disiplin</t>
        </r>
      </text>
    </comment>
    <comment ref="O3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P35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E40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pembuatan SK Tim, koordinasi persiapan, pemrosesan hukuman disiplin</t>
        </r>
      </text>
    </comment>
    <comment ref="F40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inventarisasi masalah,koordinasi, pembinaan,  pemrosesan hukuman disiplin</t>
        </r>
      </text>
    </comment>
    <comment ref="G40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koordinasi, pembinaan, pemrosesan hukuman disiplin</t>
        </r>
      </text>
    </comment>
    <comment ref="H40" authorId="1">
      <text>
        <r>
          <rPr>
            <sz val="9"/>
            <color indexed="81"/>
            <rFont val="Tahoma"/>
            <family val="2"/>
          </rPr>
          <t>pelaksanaan evaluasi dengan pihak terkait,
koordinasi, pembinaan,  pemrosesan hukuman disiplin</t>
        </r>
      </text>
    </comment>
    <comment ref="I40" authorId="1">
      <text>
        <r>
          <rPr>
            <sz val="9"/>
            <color indexed="81"/>
            <rFont val="Tahoma"/>
            <family val="2"/>
          </rPr>
          <t>koordinasi, pembinaan,  pemrosesan hukuman disiplin</t>
        </r>
      </text>
    </comment>
    <comment ref="J40" authorId="1">
      <text>
        <r>
          <rPr>
            <sz val="9"/>
            <color indexed="81"/>
            <rFont val="Tahoma"/>
            <family val="2"/>
          </rPr>
          <t>persiapan pelaksanaan evaluasi ke-2, inventarisasi masalah,koordinasi, pembinaan, pemrosesan hukuman disiplin</t>
        </r>
      </text>
    </comment>
    <comment ref="K40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koordinasi, pembinaan,  pemrosesan hukuman disiplin</t>
        </r>
      </text>
    </comment>
    <comment ref="L40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koordinasi, pembinaan,  pemrosesan hukuman disiplin</t>
        </r>
      </text>
    </comment>
    <comment ref="M40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inventarisasi masalah,koordinasi, pembinaan,pemrosesan hukuman disiplin</t>
        </r>
      </text>
    </comment>
    <comment ref="N40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persiapan pelaksanaan evaluasi ke-3, inventarisasi masalah,koordinasi, pembinaan, pemrosesan hukuman disiplin</t>
        </r>
      </text>
    </comment>
    <comment ref="O40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P40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T44" authorId="1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A45" authorId="1">
      <text>
        <r>
          <rPr>
            <sz val="9"/>
            <color indexed="81"/>
            <rFont val="Tahoma"/>
            <family val="2"/>
          </rPr>
          <t xml:space="preserve">prosentase target bulan ke-n
</t>
        </r>
      </text>
    </comment>
    <comment ref="E45" authorId="1">
      <text>
        <r>
          <rPr>
            <sz val="9"/>
            <color indexed="81"/>
            <rFont val="Tahoma"/>
            <family val="2"/>
          </rPr>
          <t>pembuatan SK Tim, koordinasi persiapan, pemrosesan izin</t>
        </r>
      </text>
    </comment>
    <comment ref="F4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pemrosesan permohonan izin</t>
        </r>
      </text>
    </comment>
    <comment ref="G4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pemrosesan permohonan izin</t>
        </r>
      </text>
    </comment>
    <comment ref="H4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pemrosesan permohonan izin</t>
        </r>
      </text>
    </comment>
    <comment ref="I4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pemrosesan permohonan izin</t>
        </r>
      </text>
    </comment>
    <comment ref="J4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pemrosesan permohonan izin</t>
        </r>
      </text>
    </comment>
    <comment ref="K4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pemrosesan permohonan izin</t>
        </r>
      </text>
    </comment>
    <comment ref="L4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pemrosesan permohonan izin</t>
        </r>
      </text>
    </comment>
    <comment ref="M4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pemrosesan permohonan izin</t>
        </r>
      </text>
    </comment>
    <comment ref="N4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pemrosesan permohonan izin</t>
        </r>
      </text>
    </comment>
    <comment ref="O4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pemrosesan permohonan izin</t>
        </r>
      </text>
    </comment>
    <comment ref="P45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pemrosesan permohonan izin</t>
        </r>
      </text>
    </comment>
    <comment ref="A46" authorId="1">
      <text>
        <r>
          <rPr>
            <sz val="9"/>
            <color indexed="81"/>
            <rFont val="Tahoma"/>
            <family val="2"/>
          </rPr>
          <t xml:space="preserve">jumlah prosentase sampai dengan bulan ke-n
</t>
        </r>
      </text>
    </comment>
    <comment ref="A47" authorId="1">
      <text>
        <r>
          <rPr>
            <sz val="9"/>
            <color indexed="81"/>
            <rFont val="Tahoma"/>
            <family val="2"/>
          </rPr>
          <t xml:space="preserve">prosentase target bulan ke-n dikalikan bobot (18)
</t>
        </r>
      </text>
    </comment>
    <comment ref="E50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F50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G50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H50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I50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J50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K50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L50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M50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N50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O50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P50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E56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F56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G56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H56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I56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J56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K56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L56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M56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N56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O56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P56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E61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F61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G61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H61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I61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J61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K61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L61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M61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N61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O61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P61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E66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F66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G66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H66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I66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J66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K66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L66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M66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N66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O66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P66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B70" authorId="3">
      <text>
        <r>
          <rPr>
            <b/>
            <sz val="9"/>
            <color indexed="81"/>
            <rFont val="Tahoma"/>
            <family val="2"/>
          </rPr>
          <t>MERAHPC:</t>
        </r>
        <r>
          <rPr>
            <sz val="9"/>
            <color indexed="81"/>
            <rFont val="Tahoma"/>
            <family val="2"/>
          </rPr>
          <t xml:space="preserve">
Jumlah naban dr 1031 setelah dikurangi diserahkan Prov menjadi 889 org jd yg diserahkan sebanyak 142</t>
        </r>
      </text>
    </comment>
    <comment ref="E70" authorId="3">
      <text>
        <r>
          <rPr>
            <b/>
            <sz val="9"/>
            <color indexed="81"/>
            <rFont val="Tahoma"/>
            <family val="2"/>
          </rPr>
          <t>MERAHPC:</t>
        </r>
        <r>
          <rPr>
            <sz val="9"/>
            <color indexed="81"/>
            <rFont val="Tahoma"/>
            <family val="2"/>
          </rPr>
          <t xml:space="preserve">
Jumlah naban dr 1031 setelah dikurangi diserahkan Prov menjadi 889 org jd yg diserahkan sebanyak 142</t>
        </r>
      </text>
    </comment>
    <comment ref="G70" authorId="3">
      <text>
        <r>
          <rPr>
            <b/>
            <sz val="9"/>
            <color indexed="81"/>
            <rFont val="Tahoma"/>
            <family val="2"/>
          </rPr>
          <t>MERAHPC:</t>
        </r>
        <r>
          <rPr>
            <sz val="9"/>
            <color indexed="81"/>
            <rFont val="Tahoma"/>
            <family val="2"/>
          </rPr>
          <t xml:space="preserve">
selasa minggu ke 4 libur</t>
        </r>
      </text>
    </comment>
    <comment ref="J70" authorId="3">
      <text>
        <r>
          <rPr>
            <b/>
            <sz val="9"/>
            <color indexed="81"/>
            <rFont val="Tahoma"/>
            <family val="2"/>
          </rPr>
          <t>MERAHPC:</t>
        </r>
        <r>
          <rPr>
            <sz val="9"/>
            <color indexed="81"/>
            <rFont val="Tahoma"/>
            <family val="2"/>
          </rPr>
          <t xml:space="preserve">
selasa minggu ke 4 cuti bersama</t>
        </r>
      </text>
    </comment>
    <comment ref="E71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F71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G71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H71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I71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J71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K71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L71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M71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N71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O71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P71" authorId="1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F76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aktifitas proses pencapaian target --&gt; pembuatan SK Tim, koordinasi persiapan</t>
        </r>
      </text>
    </comment>
    <comment ref="G76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aktifitas proses pencapaian target --&gt; pembuatan SK Tim, koordinasi persiapan</t>
        </r>
      </text>
    </comment>
    <comment ref="H76" authorId="1">
      <text>
        <r>
          <rPr>
            <sz val="9"/>
            <color indexed="81"/>
            <rFont val="Tahoma"/>
            <family val="2"/>
          </rPr>
          <t>aktifitas proses pencapaian target --&gt; 
koordinasi persiapan</t>
        </r>
      </text>
    </comment>
    <comment ref="I76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pendataan wajib LHKPN</t>
        </r>
      </text>
    </comment>
    <comment ref="J76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Pendataan wajib LHKPN</t>
        </r>
      </text>
    </comment>
    <comment ref="K76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Pendataan wajib LHKPN</t>
        </r>
      </text>
    </comment>
    <comment ref="L76" authorId="1">
      <text>
        <r>
          <rPr>
            <sz val="9"/>
            <color indexed="81"/>
            <rFont val="Tahoma"/>
            <family val="2"/>
          </rPr>
          <t>pendistribusian LHKPN</t>
        </r>
      </text>
    </comment>
    <comment ref="M76" authorId="1">
      <text>
        <r>
          <rPr>
            <sz val="9"/>
            <color indexed="81"/>
            <rFont val="Tahoma"/>
            <family val="2"/>
          </rPr>
          <t xml:space="preserve">pemrosesan LHKPN
</t>
        </r>
      </text>
    </comment>
    <comment ref="N76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Pemrosesan LHKPN</t>
        </r>
      </text>
    </comment>
    <comment ref="O76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Customer:
Pemrosesan LHKPN</t>
        </r>
      </text>
    </comment>
    <comment ref="P76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Customer:
Pemrosesan LHKPN</t>
        </r>
      </text>
    </comment>
    <comment ref="Q76" authorId="2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Customer:
Pemrosesan LHKPN</t>
        </r>
      </text>
    </comment>
    <comment ref="A80" authorId="1">
      <text>
        <r>
          <rPr>
            <sz val="9"/>
            <color indexed="81"/>
            <rFont val="Tahoma"/>
            <family val="2"/>
          </rPr>
          <t xml:space="preserve">jika ada
</t>
        </r>
      </text>
    </comment>
    <comment ref="E81" authorId="1">
      <text>
        <r>
          <rPr>
            <sz val="9"/>
            <color indexed="81"/>
            <rFont val="Tahoma"/>
            <family val="2"/>
          </rPr>
          <t>Diisi jumlah prosentase rencana target bulan ke-n dari semua sub kegiatan/paket pekerjaan</t>
        </r>
      </text>
    </comment>
    <comment ref="F81" authorId="1">
      <text>
        <r>
          <rPr>
            <sz val="9"/>
            <color indexed="81"/>
            <rFont val="Tahoma"/>
            <family val="2"/>
          </rPr>
          <t>Diisi jumlah prosentase rencana target bulan ke-n dari semua sub kegiatan/paket pekerjaan</t>
        </r>
      </text>
    </comment>
    <comment ref="G81" authorId="1">
      <text>
        <r>
          <rPr>
            <sz val="9"/>
            <color indexed="81"/>
            <rFont val="Tahoma"/>
            <family val="2"/>
          </rPr>
          <t>Diisi jumlah prosentase rencana target bulan ke-n dari semua sub kegiatan/paket pekerjaan</t>
        </r>
      </text>
    </comment>
    <comment ref="H81" authorId="1">
      <text>
        <r>
          <rPr>
            <sz val="9"/>
            <color indexed="81"/>
            <rFont val="Tahoma"/>
            <family val="2"/>
          </rPr>
          <t>Diisi jumlah prosentase rencana target bulan ke-n dari semua sub kegiatan/paket pekerjaan</t>
        </r>
      </text>
    </comment>
    <comment ref="I81" authorId="1">
      <text>
        <r>
          <rPr>
            <sz val="9"/>
            <color indexed="81"/>
            <rFont val="Tahoma"/>
            <family val="2"/>
          </rPr>
          <t>Diisi jumlah prosentase rencana target bulan ke-n dari semua sub kegiatan/paket pekerjaan</t>
        </r>
      </text>
    </comment>
    <comment ref="J81" authorId="1">
      <text>
        <r>
          <rPr>
            <sz val="9"/>
            <color indexed="81"/>
            <rFont val="Tahoma"/>
            <family val="2"/>
          </rPr>
          <t>Diisi jumlah prosentase rencana target bulan ke-n dari semua sub kegiatan/paket pekerjaan</t>
        </r>
      </text>
    </comment>
    <comment ref="K81" authorId="1">
      <text>
        <r>
          <rPr>
            <sz val="9"/>
            <color indexed="81"/>
            <rFont val="Tahoma"/>
            <family val="2"/>
          </rPr>
          <t>Diisi jumlah prosentase rencana target bulan ke-n dari semua sub kegiatan/paket pekerjaan</t>
        </r>
      </text>
    </comment>
    <comment ref="L81" authorId="1">
      <text>
        <r>
          <rPr>
            <sz val="9"/>
            <color indexed="81"/>
            <rFont val="Tahoma"/>
            <family val="2"/>
          </rPr>
          <t>Diisi jumlah prosentase rencana target bulan ke-n dari semua sub kegiatan/paket pekerjaan</t>
        </r>
      </text>
    </comment>
    <comment ref="M81" authorId="1">
      <text>
        <r>
          <rPr>
            <sz val="9"/>
            <color indexed="81"/>
            <rFont val="Tahoma"/>
            <family val="2"/>
          </rPr>
          <t>Diisi jumlah prosentase rencana target bulan ke-n dari semua sub kegiatan/paket pekerjaan</t>
        </r>
      </text>
    </comment>
    <comment ref="N81" authorId="1">
      <text>
        <r>
          <rPr>
            <sz val="9"/>
            <color indexed="81"/>
            <rFont val="Tahoma"/>
            <family val="2"/>
          </rPr>
          <t>Diisi jumlah prosentase rencana target bulan ke-n dari semua sub kegiatan/paket pekerjaan</t>
        </r>
      </text>
    </comment>
    <comment ref="O81" authorId="1">
      <text>
        <r>
          <rPr>
            <sz val="9"/>
            <color indexed="81"/>
            <rFont val="Tahoma"/>
            <family val="2"/>
          </rPr>
          <t>Diisi jumlah prosentase rencana target bulan ke-n dari semua sub kegiatan/paket pekerjaan</t>
        </r>
      </text>
    </comment>
    <comment ref="P81" authorId="1">
      <text>
        <r>
          <rPr>
            <sz val="9"/>
            <color indexed="81"/>
            <rFont val="Tahoma"/>
            <family val="2"/>
          </rPr>
          <t>Diisi jumlah prosentase rencana target bulan ke-n dari semua sub kegiatan/paket pekerjaan</t>
        </r>
      </text>
    </comment>
    <comment ref="E82" authorId="1">
      <text>
        <r>
          <rPr>
            <sz val="9"/>
            <color indexed="81"/>
            <rFont val="Tahoma"/>
            <family val="2"/>
          </rPr>
          <t>Diisi jumlah prosentase rencana target bulanan sampai dengan bulan ke-n</t>
        </r>
      </text>
    </comment>
  </commentList>
</comments>
</file>

<file path=xl/comments11.xml><?xml version="1.0" encoding="utf-8"?>
<comments xmlns="http://schemas.openxmlformats.org/spreadsheetml/2006/main">
  <authors>
    <author>toshibaku</author>
    <author>Valued Acer Customer</author>
  </authors>
  <commentList>
    <comment ref="U13" authorId="0">
      <text>
        <r>
          <rPr>
            <sz val="9"/>
            <color indexed="81"/>
            <rFont val="Tahoma"/>
            <family val="2"/>
          </rPr>
          <t>prosentase keseluruhan dari sub kegiatan/paket pekerjaan =harus 100%</t>
        </r>
      </text>
    </comment>
    <comment ref="F15" authorId="1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pembuatan SK Tim, koordinasi persiapan, pemrosesan hukuman disiplin</t>
        </r>
      </text>
    </comment>
    <comment ref="G15" authorId="1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inventarisasi masalah,koordinasi, pembinaan,  pemrosesan hukuman disiplin</t>
        </r>
      </text>
    </comment>
    <comment ref="H15" authorId="1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koordinasi, pembinaan, pemrosesan hukuman disiplin</t>
        </r>
      </text>
    </comment>
    <comment ref="I15" authorId="0">
      <text>
        <r>
          <rPr>
            <sz val="9"/>
            <color indexed="81"/>
            <rFont val="Tahoma"/>
            <family val="2"/>
          </rPr>
          <t>pelaksanaan evaluasi dengan pihak terkait,
koordinasi, pembinaan,  pemrosesan hukuman disiplin</t>
        </r>
      </text>
    </comment>
    <comment ref="J15" authorId="0">
      <text>
        <r>
          <rPr>
            <sz val="9"/>
            <color indexed="81"/>
            <rFont val="Tahoma"/>
            <family val="2"/>
          </rPr>
          <t>koordinasi, pembinaan,  pemrosesan hukuman disiplin</t>
        </r>
      </text>
    </comment>
    <comment ref="K15" authorId="0">
      <text>
        <r>
          <rPr>
            <sz val="9"/>
            <color indexed="81"/>
            <rFont val="Tahoma"/>
            <family val="2"/>
          </rPr>
          <t>persiapan pelaksanaan evaluasi ke-2, inventarisasi masalah,koordinasi, pembinaan, pemrosesan hukuman disiplin</t>
        </r>
      </text>
    </comment>
    <comment ref="L15" authorId="1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koordinasi, pembinaan,  pemrosesan hukuman disiplin</t>
        </r>
      </text>
    </comment>
    <comment ref="M15" authorId="1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koordinasi, pembinaan,  pemrosesan hukuman disiplin</t>
        </r>
      </text>
    </comment>
    <comment ref="N15" authorId="1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inventarisasi masalah,koordinasi, pembinaan,pemrosesan hukuman disiplin</t>
        </r>
      </text>
    </comment>
    <comment ref="O15" authorId="1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persiapan pelaksanaan evaluasi ke-3, inventarisasi masalah,koordinasi, pembinaan, pemrosesan hukuman disiplin</t>
        </r>
      </text>
    </comment>
    <comment ref="P15" authorId="1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,koordinasi, pembinaan, pemrosesan hukuman disiplin</t>
        </r>
      </text>
    </comment>
    <comment ref="Q15" authorId="0">
      <text>
        <r>
          <rPr>
            <sz val="9"/>
            <color indexed="81"/>
            <rFont val="Tahoma"/>
            <family val="2"/>
          </rPr>
          <t>pelaksanaan evaluasi terakhir, pembuatan laporan, pemrosesan hukuman disiplin</t>
        </r>
      </text>
    </comment>
    <comment ref="U24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B25" authorId="0">
      <text>
        <r>
          <rPr>
            <sz val="9"/>
            <color indexed="81"/>
            <rFont val="Tahoma"/>
            <family val="2"/>
          </rPr>
          <t xml:space="preserve">prosentase target bulan ke-n
</t>
        </r>
      </text>
    </comment>
    <comment ref="B26" authorId="0">
      <text>
        <r>
          <rPr>
            <sz val="9"/>
            <color indexed="81"/>
            <rFont val="Tahoma"/>
            <family val="2"/>
          </rPr>
          <t xml:space="preserve">jumlah prosentase sampai dengan bulan ke-n
</t>
        </r>
      </text>
    </comment>
    <comment ref="B27" authorId="0">
      <text>
        <r>
          <rPr>
            <sz val="9"/>
            <color indexed="81"/>
            <rFont val="Tahoma"/>
            <family val="2"/>
          </rPr>
          <t xml:space="preserve">prosentase target bulan ke-n dikalikan bobot (18)
</t>
        </r>
      </text>
    </comment>
    <comment ref="G44" authorId="1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aktifitas proses pencapaian target --&gt; pembuatan SK Tim, koordinasi persiapan</t>
        </r>
      </text>
    </comment>
    <comment ref="H44" authorId="1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aktifitas proses pencapaian target --&gt; pembuatan SK Tim, koordinasi persiapan</t>
        </r>
      </text>
    </comment>
    <comment ref="I44" authorId="0">
      <text>
        <r>
          <rPr>
            <sz val="9"/>
            <color indexed="81"/>
            <rFont val="Tahoma"/>
            <family val="2"/>
          </rPr>
          <t>aktifitas proses pencapaian target --&gt; 
koordinasi persiapan</t>
        </r>
      </text>
    </comment>
    <comment ref="J44" authorId="1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pendataan wajib LHKPN</t>
        </r>
      </text>
    </comment>
    <comment ref="K44" authorId="1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Pendataan wajib LHKPN</t>
        </r>
      </text>
    </comment>
    <comment ref="L44" authorId="1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Pendataan wajib LHKPN</t>
        </r>
      </text>
    </comment>
    <comment ref="M44" authorId="0">
      <text>
        <r>
          <rPr>
            <sz val="9"/>
            <color indexed="81"/>
            <rFont val="Tahoma"/>
            <family val="2"/>
          </rPr>
          <t>pendistribusian LHKPN</t>
        </r>
      </text>
    </comment>
    <comment ref="N44" authorId="0">
      <text>
        <r>
          <rPr>
            <sz val="9"/>
            <color indexed="81"/>
            <rFont val="Tahoma"/>
            <family val="2"/>
          </rPr>
          <t xml:space="preserve">pemrosesan LHKPN
</t>
        </r>
      </text>
    </comment>
    <comment ref="O44" authorId="1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Pemrosesan LHKPN</t>
        </r>
      </text>
    </comment>
    <comment ref="P44" authorId="1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Customer:
Pemrosesan LHKPN</t>
        </r>
      </text>
    </comment>
    <comment ref="Q44" authorId="1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Customer:
Pemrosesan LHKPN</t>
        </r>
      </text>
    </comment>
    <comment ref="R44" authorId="1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Customer:
Pemrosesan LHKPN</t>
        </r>
      </text>
    </comment>
    <comment ref="R49" authorId="1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Customer:
Pemrosesan LHKPN</t>
        </r>
      </text>
    </comment>
    <comment ref="B52" authorId="0">
      <text>
        <r>
          <rPr>
            <sz val="9"/>
            <color indexed="81"/>
            <rFont val="Tahoma"/>
            <family val="2"/>
          </rPr>
          <t xml:space="preserve">jika ada
</t>
        </r>
      </text>
    </comment>
    <comment ref="F54" authorId="0">
      <text>
        <r>
          <rPr>
            <sz val="9"/>
            <color indexed="81"/>
            <rFont val="Tahoma"/>
            <family val="2"/>
          </rPr>
          <t>Diisi jumlah prosentase rencana target bulan ke-n dari semua sub kegiatan/paket pekerjaan</t>
        </r>
      </text>
    </comment>
    <comment ref="G54" authorId="0">
      <text>
        <r>
          <rPr>
            <sz val="9"/>
            <color indexed="81"/>
            <rFont val="Tahoma"/>
            <family val="2"/>
          </rPr>
          <t>Diisi jumlah prosentase rencana target bulan ke-n dari semua sub kegiatan/paket pekerjaan</t>
        </r>
      </text>
    </comment>
    <comment ref="H54" authorId="0">
      <text>
        <r>
          <rPr>
            <sz val="9"/>
            <color indexed="81"/>
            <rFont val="Tahoma"/>
            <family val="2"/>
          </rPr>
          <t>Diisi jumlah prosentase rencana target bulan ke-n dari semua sub kegiatan/paket pekerjaan</t>
        </r>
      </text>
    </comment>
    <comment ref="I54" authorId="0">
      <text>
        <r>
          <rPr>
            <sz val="9"/>
            <color indexed="81"/>
            <rFont val="Tahoma"/>
            <family val="2"/>
          </rPr>
          <t>Diisi jumlah prosentase rencana target bulan ke-n dari semua sub kegiatan/paket pekerjaan</t>
        </r>
      </text>
    </comment>
    <comment ref="J54" authorId="0">
      <text>
        <r>
          <rPr>
            <sz val="9"/>
            <color indexed="81"/>
            <rFont val="Tahoma"/>
            <family val="2"/>
          </rPr>
          <t>Diisi jumlah prosentase rencana target bulan ke-n dari semua sub kegiatan/paket pekerjaan</t>
        </r>
      </text>
    </comment>
    <comment ref="K54" authorId="0">
      <text>
        <r>
          <rPr>
            <sz val="9"/>
            <color indexed="81"/>
            <rFont val="Tahoma"/>
            <family val="2"/>
          </rPr>
          <t>Diisi jumlah prosentase rencana target bulan ke-n dari semua sub kegiatan/paket pekerjaan</t>
        </r>
      </text>
    </comment>
    <comment ref="L54" authorId="0">
      <text>
        <r>
          <rPr>
            <sz val="9"/>
            <color indexed="81"/>
            <rFont val="Tahoma"/>
            <family val="2"/>
          </rPr>
          <t>Diisi jumlah prosentase rencana target bulan ke-n dari semua sub kegiatan/paket pekerjaan</t>
        </r>
      </text>
    </comment>
    <comment ref="M54" authorId="0">
      <text>
        <r>
          <rPr>
            <sz val="9"/>
            <color indexed="81"/>
            <rFont val="Tahoma"/>
            <family val="2"/>
          </rPr>
          <t>Diisi jumlah prosentase rencana target bulan ke-n dari semua sub kegiatan/paket pekerjaan</t>
        </r>
      </text>
    </comment>
    <comment ref="N54" authorId="0">
      <text>
        <r>
          <rPr>
            <sz val="9"/>
            <color indexed="81"/>
            <rFont val="Tahoma"/>
            <family val="2"/>
          </rPr>
          <t>Diisi jumlah prosentase rencana target bulan ke-n dari semua sub kegiatan/paket pekerjaan</t>
        </r>
      </text>
    </comment>
    <comment ref="O54" authorId="0">
      <text>
        <r>
          <rPr>
            <sz val="9"/>
            <color indexed="81"/>
            <rFont val="Tahoma"/>
            <family val="2"/>
          </rPr>
          <t>Diisi jumlah prosentase rencana target bulan ke-n dari semua sub kegiatan/paket pekerjaan</t>
        </r>
      </text>
    </comment>
    <comment ref="P54" authorId="0">
      <text>
        <r>
          <rPr>
            <sz val="9"/>
            <color indexed="81"/>
            <rFont val="Tahoma"/>
            <family val="2"/>
          </rPr>
          <t>Diisi jumlah prosentase rencana target bulan ke-n dari semua sub kegiatan/paket pekerjaan</t>
        </r>
      </text>
    </comment>
    <comment ref="Q54" authorId="0">
      <text>
        <r>
          <rPr>
            <sz val="9"/>
            <color indexed="81"/>
            <rFont val="Tahoma"/>
            <family val="2"/>
          </rPr>
          <t>Diisi jumlah prosentase rencana target bulan ke-n dari semua sub kegiatan/paket pekerjaan</t>
        </r>
      </text>
    </comment>
    <comment ref="F55" authorId="0">
      <text>
        <r>
          <rPr>
            <sz val="9"/>
            <color indexed="81"/>
            <rFont val="Tahoma"/>
            <family val="2"/>
          </rPr>
          <t>Diisi jumlah prosentase rencana target bulanan sampai dengan bulan ke-n</t>
        </r>
      </text>
    </comment>
  </commentList>
</comments>
</file>

<file path=xl/comments12.xml><?xml version="1.0" encoding="utf-8"?>
<comments xmlns="http://schemas.openxmlformats.org/spreadsheetml/2006/main">
  <authors>
    <author>toshibaku</author>
  </authors>
  <commentList>
    <comment ref="U16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G17" authorId="0">
      <text>
        <r>
          <rPr>
            <sz val="9"/>
            <color indexed="81"/>
            <rFont val="Tahoma"/>
            <family val="2"/>
          </rPr>
          <t xml:space="preserve">prosentase diisi sesuai sebaran target kinerja per bulan atau diisi sesuai bobot aktifitas proses pencapaian target kinerja
</t>
        </r>
      </text>
    </comment>
    <comment ref="U21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G22" authorId="0">
      <text>
        <r>
          <rPr>
            <sz val="9"/>
            <color indexed="81"/>
            <rFont val="Tahoma"/>
            <family val="2"/>
          </rPr>
          <t xml:space="preserve">prosentase diisi sesuai sebaran target kinerja per bulan atau diisi sesuai bobot aktifitas proses pencapaian target kinerja
</t>
        </r>
      </text>
    </comment>
    <comment ref="U26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G28" authorId="0">
      <text>
        <r>
          <rPr>
            <sz val="9"/>
            <color indexed="81"/>
            <rFont val="Tahoma"/>
            <family val="2"/>
          </rPr>
          <t xml:space="preserve">prosentase diisi sesuai sebaran target kinerja per bulan atau diisi sesuai bobot aktifitas proses pencapaian target kinerja
</t>
        </r>
      </text>
    </comment>
    <comment ref="U32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G33" authorId="0">
      <text>
        <r>
          <rPr>
            <sz val="9"/>
            <color indexed="81"/>
            <rFont val="Tahoma"/>
            <family val="2"/>
          </rPr>
          <t xml:space="preserve">prosentase diisi sesuai sebaran target kinerja per bulan atau diisi sesuai bobot aktifitas proses pencapaian target kinerja
</t>
        </r>
      </text>
    </comment>
    <comment ref="U37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G39" authorId="0">
      <text>
        <r>
          <rPr>
            <sz val="9"/>
            <color indexed="81"/>
            <rFont val="Tahoma"/>
            <family val="2"/>
          </rPr>
          <t xml:space="preserve">prosentase diisi sesuai sebaran target kinerja per bulan atau diisi sesuai bobot aktifitas proses pencapaian target kinerja
</t>
        </r>
      </text>
    </comment>
    <comment ref="U47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G49" authorId="0">
      <text>
        <r>
          <rPr>
            <sz val="9"/>
            <color indexed="81"/>
            <rFont val="Tahoma"/>
            <family val="2"/>
          </rPr>
          <t xml:space="preserve">prosentase diisi sesuai sebaran target kinerja per bulan atau diisi sesuai bobot aktifitas proses pencapaian target kinerja
</t>
        </r>
      </text>
    </comment>
    <comment ref="W57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I58" authorId="0">
      <text>
        <r>
          <rPr>
            <sz val="9"/>
            <color indexed="81"/>
            <rFont val="Tahoma"/>
            <family val="2"/>
          </rPr>
          <t xml:space="preserve">prosentase diisi sesuai sebaran target kinerja per bulan atau diisi sesuai bobot aktifitas proses pencapaian target kinerja
</t>
        </r>
      </text>
    </comment>
  </commentList>
</comments>
</file>

<file path=xl/comments13.xml><?xml version="1.0" encoding="utf-8"?>
<comments xmlns="http://schemas.openxmlformats.org/spreadsheetml/2006/main">
  <authors>
    <author>toshibaku</author>
  </authors>
  <commentList>
    <comment ref="U16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G17" authorId="0">
      <text>
        <r>
          <rPr>
            <sz val="9"/>
            <color indexed="81"/>
            <rFont val="Tahoma"/>
            <family val="2"/>
          </rPr>
          <t xml:space="preserve">prosentase diisi sesuai sebaran target kinerja per bulan atau diisi sesuai bobot aktifitas proses pencapaian target kinerja
</t>
        </r>
      </text>
    </comment>
    <comment ref="U21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G22" authorId="0">
      <text>
        <r>
          <rPr>
            <sz val="9"/>
            <color indexed="81"/>
            <rFont val="Tahoma"/>
            <family val="2"/>
          </rPr>
          <t xml:space="preserve">prosentase diisi sesuai sebaran target kinerja per bulan atau diisi sesuai bobot aktifitas proses pencapaian target kinerja
</t>
        </r>
      </text>
    </comment>
    <comment ref="U26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G28" authorId="0">
      <text>
        <r>
          <rPr>
            <sz val="9"/>
            <color indexed="81"/>
            <rFont val="Tahoma"/>
            <family val="2"/>
          </rPr>
          <t xml:space="preserve">prosentase diisi sesuai sebaran target kinerja per bulan atau diisi sesuai bobot aktifitas proses pencapaian target kinerja
</t>
        </r>
      </text>
    </comment>
    <comment ref="U32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G33" authorId="0">
      <text>
        <r>
          <rPr>
            <sz val="9"/>
            <color indexed="81"/>
            <rFont val="Tahoma"/>
            <family val="2"/>
          </rPr>
          <t xml:space="preserve">prosentase diisi sesuai sebaran target kinerja per bulan atau diisi sesuai bobot aktifitas proses pencapaian target kinerja
</t>
        </r>
      </text>
    </comment>
    <comment ref="U37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G39" authorId="0">
      <text>
        <r>
          <rPr>
            <sz val="9"/>
            <color indexed="81"/>
            <rFont val="Tahoma"/>
            <family val="2"/>
          </rPr>
          <t xml:space="preserve">prosentase diisi sesuai sebaran target kinerja per bulan atau diisi sesuai bobot aktifitas proses pencapaian target kinerja
</t>
        </r>
      </text>
    </comment>
    <comment ref="U43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G45" authorId="0">
      <text>
        <r>
          <rPr>
            <sz val="9"/>
            <color indexed="81"/>
            <rFont val="Tahoma"/>
            <family val="2"/>
          </rPr>
          <t xml:space="preserve">prosentase diisi sesuai sebaran target kinerja per bulan atau diisi sesuai bobot aktifitas proses pencapaian target kinerja
</t>
        </r>
      </text>
    </comment>
    <comment ref="U49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G51" authorId="0">
      <text>
        <r>
          <rPr>
            <sz val="9"/>
            <color indexed="81"/>
            <rFont val="Tahoma"/>
            <family val="2"/>
          </rPr>
          <t xml:space="preserve">prosentase diisi sesuai sebaran target kinerja per bulan atau diisi sesuai bobot aktifitas proses pencapaian target kinerja
</t>
        </r>
      </text>
    </comment>
    <comment ref="W58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I59" authorId="0">
      <text>
        <r>
          <rPr>
            <sz val="9"/>
            <color indexed="81"/>
            <rFont val="Tahoma"/>
            <family val="2"/>
          </rPr>
          <t xml:space="preserve">prosentase diisi sesuai sebaran target kinerja per bulan atau diisi sesuai bobot aktifitas proses pencapaian target kinerja
</t>
        </r>
      </text>
    </comment>
  </commentList>
</comments>
</file>

<file path=xl/comments14.xml><?xml version="1.0" encoding="utf-8"?>
<comments xmlns="http://schemas.openxmlformats.org/spreadsheetml/2006/main">
  <authors>
    <author>Windows User</author>
    <author>toshibaku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Anggaran 2019 Rp472,614,000</t>
        </r>
      </text>
    </comment>
    <comment ref="U16" authorId="1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G17" authorId="1">
      <text>
        <r>
          <rPr>
            <sz val="9"/>
            <color indexed="81"/>
            <rFont val="Tahoma"/>
            <family val="2"/>
          </rPr>
          <t xml:space="preserve">prosentase diisi sesuai sebaran target kinerja per bulan atau diisi sesuai bobot aktifitas proses pencapaian target kinerja
</t>
        </r>
      </text>
    </comment>
    <comment ref="U21" authorId="1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G22" authorId="1">
      <text>
        <r>
          <rPr>
            <sz val="9"/>
            <color indexed="81"/>
            <rFont val="Tahoma"/>
            <family val="2"/>
          </rPr>
          <t xml:space="preserve">prosentase diisi sesuai sebaran target kinerja per bulan atau diisi sesuai bobot aktifitas proses pencapaian target kinerja
</t>
        </r>
      </text>
    </comment>
    <comment ref="U26" authorId="1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G27" authorId="1">
      <text>
        <r>
          <rPr>
            <sz val="9"/>
            <color indexed="81"/>
            <rFont val="Tahoma"/>
            <family val="2"/>
          </rPr>
          <t xml:space="preserve">prosentase diisi sesuai sebaran target kinerja per bulan atau diisi sesuai bobot aktifitas proses pencapaian target kinerja
</t>
        </r>
      </text>
    </comment>
    <comment ref="U31" authorId="1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G32" authorId="1">
      <text>
        <r>
          <rPr>
            <sz val="9"/>
            <color indexed="81"/>
            <rFont val="Tahoma"/>
            <family val="2"/>
          </rPr>
          <t xml:space="preserve">prosentase diisi sesuai sebaran target kinerja per bulan atau diisi sesuai bobot aktifitas proses pencapaian target kinerja
</t>
        </r>
      </text>
    </comment>
    <comment ref="W40" authorId="1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I41" authorId="1">
      <text>
        <r>
          <rPr>
            <sz val="9"/>
            <color indexed="81"/>
            <rFont val="Tahoma"/>
            <family val="2"/>
          </rPr>
          <t xml:space="preserve">prosentase diisi sesuai sebaran target kinerja per bulan atau diisi sesuai bobot aktifitas proses pencapaian target kinerja
</t>
        </r>
      </text>
    </comment>
  </commentList>
</comments>
</file>

<file path=xl/comments2.xml><?xml version="1.0" encoding="utf-8"?>
<comments xmlns="http://schemas.openxmlformats.org/spreadsheetml/2006/main">
  <authors>
    <author>toshibaku</author>
  </authors>
  <commentList>
    <comment ref="R14" authorId="0">
      <text>
        <r>
          <rPr>
            <b/>
            <sz val="9"/>
            <color indexed="81"/>
            <rFont val="Tahoma"/>
            <family val="2"/>
          </rPr>
          <t>Anggaran Total sesuai dengan DPA</t>
        </r>
      </text>
    </comment>
    <comment ref="T14" authorId="0">
      <text>
        <r>
          <rPr>
            <sz val="9"/>
            <color indexed="81"/>
            <rFont val="Tahoma"/>
            <family val="2"/>
          </rPr>
          <t>prosentase keseluruhan dari sub kegiatan/paket pekerjaan =harus 100%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Target Kinerja sesuai dengan DPA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Sesuai dengan DPA</t>
        </r>
      </text>
    </comment>
    <comment ref="R15" authorId="0">
      <text>
        <r>
          <rPr>
            <sz val="9"/>
            <color indexed="81"/>
            <rFont val="Tahoma"/>
            <family val="2"/>
          </rPr>
          <t xml:space="preserve">Anggaran per sub kegiatan/paket pekerjaan (terdiri dari jumlah belanja pegawai, belanja barang dan jasa, dan belanja modal)
</t>
        </r>
      </text>
    </comment>
    <comment ref="T15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prosentase target bulan ke-n
</t>
        </r>
      </text>
    </comment>
    <comment ref="B17" authorId="0">
      <text>
        <r>
          <rPr>
            <sz val="9"/>
            <color indexed="81"/>
            <rFont val="Tahoma"/>
            <family val="2"/>
          </rPr>
          <t xml:space="preserve">jumlah prosentase sampai dengan bulan ke-n
</t>
        </r>
      </text>
    </comment>
    <comment ref="B18" authorId="0">
      <text>
        <r>
          <rPr>
            <sz val="9"/>
            <color indexed="81"/>
            <rFont val="Tahoma"/>
            <family val="2"/>
          </rPr>
          <t xml:space="preserve">prosentase target bulan ke-n dikalikan bobot (18)
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Target Kinerja sesuai dengan DPA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Sesuai dengan DPA</t>
        </r>
      </text>
    </comment>
    <comment ref="R20" authorId="0">
      <text>
        <r>
          <rPr>
            <sz val="9"/>
            <color indexed="81"/>
            <rFont val="Tahoma"/>
            <family val="2"/>
          </rPr>
          <t xml:space="preserve">Anggaran per sub kegiatan/paket pekerjaan (terdiri dari jumlah belanja pegawai, belanja barang dan jasa, dan belanja modal)
</t>
        </r>
      </text>
    </comment>
    <comment ref="T20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B21" authorId="0">
      <text>
        <r>
          <rPr>
            <sz val="9"/>
            <color indexed="81"/>
            <rFont val="Tahoma"/>
            <family val="2"/>
          </rPr>
          <t xml:space="preserve">prosentase target bulan ke-n
</t>
        </r>
      </text>
    </comment>
    <comment ref="B22" authorId="0">
      <text>
        <r>
          <rPr>
            <sz val="9"/>
            <color indexed="81"/>
            <rFont val="Tahoma"/>
            <family val="2"/>
          </rPr>
          <t xml:space="preserve">jumlah prosentase sampai dengan bulan ke-n
</t>
        </r>
      </text>
    </comment>
    <comment ref="B23" authorId="0">
      <text>
        <r>
          <rPr>
            <sz val="9"/>
            <color indexed="81"/>
            <rFont val="Tahoma"/>
            <family val="2"/>
          </rPr>
          <t xml:space="preserve">prosentase target bulan ke-n dikalikan bobot (18)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A8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bahan komputer printer (5,2,2,02,06)+alat perleng rt/kerja (5,2,2,02,07)+jasa adm bank</t>
        </r>
      </text>
    </comment>
    <comment ref="A8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rek. 5,2,2,20,04 dan 5,2,2,20,11</t>
        </r>
      </text>
    </comment>
    <comment ref="A10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Rek. 52311</t>
        </r>
      </text>
    </comment>
    <comment ref="A1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rek. 52313</t>
        </r>
      </text>
    </comment>
  </commentList>
</comments>
</file>

<file path=xl/comments4.xml><?xml version="1.0" encoding="utf-8"?>
<comments xmlns="http://schemas.openxmlformats.org/spreadsheetml/2006/main">
  <authors>
    <author>toshibaku</author>
  </authors>
  <commentList>
    <comment ref="R14" authorId="0">
      <text>
        <r>
          <rPr>
            <b/>
            <sz val="9"/>
            <color indexed="81"/>
            <rFont val="Tahoma"/>
            <family val="2"/>
          </rPr>
          <t>Anggaran Total sesuai dengan DPA</t>
        </r>
      </text>
    </comment>
    <comment ref="T14" authorId="0">
      <text>
        <r>
          <rPr>
            <sz val="9"/>
            <color indexed="81"/>
            <rFont val="Tahoma"/>
            <family val="2"/>
          </rPr>
          <t>prosentase keseluruhan dari sub kegiatan/paket pekerjaan =harus 100%</t>
        </r>
      </text>
    </comment>
    <comment ref="R15" authorId="0">
      <text>
        <r>
          <rPr>
            <sz val="9"/>
            <color indexed="81"/>
            <rFont val="Tahoma"/>
            <family val="2"/>
          </rPr>
          <t xml:space="preserve">Anggaran per sub kegiatan/paket pekerjaan (terdiri dari jumlah belanja pegawai, belanja barang dan jasa, dan belanja modal)
</t>
        </r>
      </text>
    </comment>
    <comment ref="T15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prosentase target bulan ke-n
</t>
        </r>
      </text>
    </comment>
    <comment ref="B17" authorId="0">
      <text>
        <r>
          <rPr>
            <sz val="9"/>
            <color indexed="81"/>
            <rFont val="Tahoma"/>
            <family val="2"/>
          </rPr>
          <t xml:space="preserve">jumlah prosentase sampai dengan bulan ke-n
</t>
        </r>
      </text>
    </comment>
    <comment ref="B18" authorId="0">
      <text>
        <r>
          <rPr>
            <sz val="9"/>
            <color indexed="81"/>
            <rFont val="Tahoma"/>
            <family val="2"/>
          </rPr>
          <t xml:space="preserve">prosentase target bulan ke-n dikalikan bobot (18)
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Target Kinerja sesuai dengan DPA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Sesuai dengan DPA</t>
        </r>
      </text>
    </comment>
    <comment ref="R20" authorId="0">
      <text>
        <r>
          <rPr>
            <sz val="9"/>
            <color indexed="81"/>
            <rFont val="Tahoma"/>
            <family val="2"/>
          </rPr>
          <t xml:space="preserve">Anggaran per sub kegiatan/paket pekerjaan (terdiri dari jumlah belanja pegawai, belanja barang dan jasa, dan belanja modal)
</t>
        </r>
      </text>
    </comment>
    <comment ref="T20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B21" authorId="0">
      <text>
        <r>
          <rPr>
            <sz val="9"/>
            <color indexed="81"/>
            <rFont val="Tahoma"/>
            <family val="2"/>
          </rPr>
          <t xml:space="preserve">prosentase target bulan ke-n
</t>
        </r>
      </text>
    </comment>
    <comment ref="B22" authorId="0">
      <text>
        <r>
          <rPr>
            <sz val="9"/>
            <color indexed="81"/>
            <rFont val="Tahoma"/>
            <family val="2"/>
          </rPr>
          <t xml:space="preserve">jumlah prosentase sampai dengan bulan ke-n
</t>
        </r>
      </text>
    </comment>
    <comment ref="B23" authorId="0">
      <text>
        <r>
          <rPr>
            <sz val="9"/>
            <color indexed="81"/>
            <rFont val="Tahoma"/>
            <family val="2"/>
          </rPr>
          <t xml:space="preserve">prosentase target bulan ke-n dikalikan bobot (18)
</t>
        </r>
      </text>
    </comment>
  </commentList>
</comments>
</file>

<file path=xl/comments5.xml><?xml version="1.0" encoding="utf-8"?>
<comments xmlns="http://schemas.openxmlformats.org/spreadsheetml/2006/main">
  <authors>
    <author>toshibaku</author>
  </authors>
  <commentList>
    <comment ref="R14" authorId="0">
      <text>
        <r>
          <rPr>
            <b/>
            <sz val="9"/>
            <color indexed="81"/>
            <rFont val="Tahoma"/>
            <family val="2"/>
          </rPr>
          <t>Anggaran Total sesuai dengan DPA</t>
        </r>
      </text>
    </comment>
    <comment ref="T14" authorId="0">
      <text>
        <r>
          <rPr>
            <sz val="9"/>
            <color indexed="81"/>
            <rFont val="Tahoma"/>
            <family val="2"/>
          </rPr>
          <t>prosentase keseluruhan dari sub kegiatan/paket pekerjaan =harus 100%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Target Kinerja sesuai dengan DPA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Sesuai dengan DPA</t>
        </r>
      </text>
    </comment>
    <comment ref="R15" authorId="0">
      <text>
        <r>
          <rPr>
            <sz val="9"/>
            <color indexed="81"/>
            <rFont val="Tahoma"/>
            <family val="2"/>
          </rPr>
          <t xml:space="preserve">Anggaran per sub kegiatan/paket pekerjaan (terdiri dari jumlah belanja pegawai, belanja barang dan jasa, dan belanja modal)
</t>
        </r>
      </text>
    </comment>
    <comment ref="T15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prosentase target bulan ke-n
</t>
        </r>
      </text>
    </comment>
    <comment ref="B17" authorId="0">
      <text>
        <r>
          <rPr>
            <sz val="9"/>
            <color indexed="81"/>
            <rFont val="Tahoma"/>
            <family val="2"/>
          </rPr>
          <t xml:space="preserve">jumlah prosentase sampai dengan bulan ke-n
</t>
        </r>
      </text>
    </comment>
    <comment ref="B18" authorId="0">
      <text>
        <r>
          <rPr>
            <sz val="9"/>
            <color indexed="81"/>
            <rFont val="Tahoma"/>
            <family val="2"/>
          </rPr>
          <t xml:space="preserve">prosentase target bulan ke-n dikalikan bobot (18)
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Target Kinerja sesuai dengan DPA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Sesuai dengan DPA</t>
        </r>
      </text>
    </comment>
    <comment ref="R20" authorId="0">
      <text>
        <r>
          <rPr>
            <sz val="9"/>
            <color indexed="81"/>
            <rFont val="Tahoma"/>
            <family val="2"/>
          </rPr>
          <t xml:space="preserve">Anggaran per sub kegiatan/paket pekerjaan (terdiri dari jumlah belanja pegawai, belanja barang dan jasa, dan belanja modal)
</t>
        </r>
      </text>
    </comment>
    <comment ref="T20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B21" authorId="0">
      <text>
        <r>
          <rPr>
            <sz val="9"/>
            <color indexed="81"/>
            <rFont val="Tahoma"/>
            <family val="2"/>
          </rPr>
          <t xml:space="preserve">prosentase target bulan ke-n
</t>
        </r>
      </text>
    </comment>
    <comment ref="B22" authorId="0">
      <text>
        <r>
          <rPr>
            <sz val="9"/>
            <color indexed="81"/>
            <rFont val="Tahoma"/>
            <family val="2"/>
          </rPr>
          <t xml:space="preserve">jumlah prosentase sampai dengan bulan ke-n
</t>
        </r>
      </text>
    </comment>
    <comment ref="B23" authorId="0">
      <text>
        <r>
          <rPr>
            <sz val="9"/>
            <color indexed="81"/>
            <rFont val="Tahoma"/>
            <family val="2"/>
          </rPr>
          <t xml:space="preserve">prosentase target bulan ke-n dikalikan bobot (18)
</t>
        </r>
      </text>
    </comment>
  </commentList>
</comments>
</file>

<file path=xl/comments6.xml><?xml version="1.0" encoding="utf-8"?>
<comments xmlns="http://schemas.openxmlformats.org/spreadsheetml/2006/main">
  <authors>
    <author>toshibaku</author>
  </authors>
  <commentList>
    <comment ref="R14" authorId="0">
      <text>
        <r>
          <rPr>
            <b/>
            <sz val="9"/>
            <color indexed="81"/>
            <rFont val="Tahoma"/>
            <family val="2"/>
          </rPr>
          <t>Anggaran Total sesuai dengan DPA</t>
        </r>
      </text>
    </comment>
    <comment ref="T14" authorId="0">
      <text>
        <r>
          <rPr>
            <sz val="9"/>
            <color indexed="81"/>
            <rFont val="Tahoma"/>
            <family val="2"/>
          </rPr>
          <t>prosentase keseluruhan dari sub kegiatan/paket pekerjaan =harus 100%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Target Kinerja sesuai dengan DPA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Sesuai dengan DPA</t>
        </r>
      </text>
    </comment>
    <comment ref="R15" authorId="0">
      <text>
        <r>
          <rPr>
            <sz val="9"/>
            <color indexed="81"/>
            <rFont val="Tahoma"/>
            <family val="2"/>
          </rPr>
          <t xml:space="preserve">Anggaran per sub kegiatan/paket pekerjaan (terdiri dari jumlah belanja pegawai, belanja barang dan jasa, dan belanja modal)
</t>
        </r>
      </text>
    </comment>
    <comment ref="T15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prosentase target bulan ke-n
</t>
        </r>
      </text>
    </comment>
    <comment ref="B17" authorId="0">
      <text>
        <r>
          <rPr>
            <sz val="9"/>
            <color indexed="81"/>
            <rFont val="Tahoma"/>
            <family val="2"/>
          </rPr>
          <t xml:space="preserve">jumlah prosentase sampai dengan bulan ke-n
</t>
        </r>
      </text>
    </comment>
    <comment ref="B18" authorId="0">
      <text>
        <r>
          <rPr>
            <sz val="9"/>
            <color indexed="81"/>
            <rFont val="Tahoma"/>
            <family val="2"/>
          </rPr>
          <t xml:space="preserve">prosentase target bulan ke-n dikalikan bobot (18)
</t>
        </r>
      </text>
    </comment>
  </commentList>
</comments>
</file>

<file path=xl/comments7.xml><?xml version="1.0" encoding="utf-8"?>
<comments xmlns="http://schemas.openxmlformats.org/spreadsheetml/2006/main">
  <authors>
    <author>Arwanto</author>
  </authors>
  <commentList>
    <comment ref="B12" authorId="0">
      <text>
        <r>
          <rPr>
            <b/>
            <sz val="8"/>
            <color indexed="81"/>
            <rFont val="Tahoma"/>
            <family val="2"/>
          </rPr>
          <t>Arwanto:</t>
        </r>
        <r>
          <rPr>
            <sz val="8"/>
            <color indexed="81"/>
            <rFont val="Tahoma"/>
            <family val="2"/>
          </rPr>
          <t xml:space="preserve">
warna biru adalah isian untuk bulan ini
</t>
        </r>
      </text>
    </comment>
  </commentList>
</comments>
</file>

<file path=xl/comments8.xml><?xml version="1.0" encoding="utf-8"?>
<comments xmlns="http://schemas.openxmlformats.org/spreadsheetml/2006/main">
  <authors>
    <author>Windows User</author>
    <author>toshibaku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disesuaikan dengan perubahan makmin shg total kegiatan sebesar Rp667,360,000</t>
        </r>
      </text>
    </comment>
    <comment ref="R14" authorId="1">
      <text>
        <r>
          <rPr>
            <b/>
            <sz val="9"/>
            <color indexed="81"/>
            <rFont val="Tahoma"/>
            <family val="2"/>
          </rPr>
          <t>Anggaran Total sesuai dengan DPA</t>
        </r>
      </text>
    </comment>
    <comment ref="T14" authorId="1">
      <text>
        <r>
          <rPr>
            <sz val="9"/>
            <color indexed="81"/>
            <rFont val="Tahoma"/>
            <family val="2"/>
          </rPr>
          <t>prosentase keseluruhan dari sub kegiatan/paket pekerjaan =harus 100%</t>
        </r>
      </text>
    </comment>
    <comment ref="C29" authorId="1">
      <text>
        <r>
          <rPr>
            <b/>
            <sz val="9"/>
            <color indexed="81"/>
            <rFont val="Tahoma"/>
            <family val="2"/>
          </rPr>
          <t>Target Kinerja sesuai dengan DPA</t>
        </r>
      </text>
    </comment>
    <comment ref="E29" authorId="1">
      <text>
        <r>
          <rPr>
            <b/>
            <sz val="9"/>
            <color indexed="81"/>
            <rFont val="Tahoma"/>
            <family val="2"/>
          </rPr>
          <t>Sesuai dengan DPA</t>
        </r>
      </text>
    </comment>
    <comment ref="R29" authorId="1">
      <text>
        <r>
          <rPr>
            <sz val="9"/>
            <color indexed="81"/>
            <rFont val="Tahoma"/>
            <family val="2"/>
          </rPr>
          <t xml:space="preserve">Anggaran per sub kegiatan/paket pekerjaan (terdiri dari jumlah belanja pegawai, belanja barang dan jasa, dan belanja modal)
</t>
        </r>
      </text>
    </comment>
    <comment ref="T29" authorId="1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B30" authorId="1">
      <text>
        <r>
          <rPr>
            <sz val="9"/>
            <color indexed="81"/>
            <rFont val="Tahoma"/>
            <family val="2"/>
          </rPr>
          <t xml:space="preserve">prosentase target bulan ke-n
</t>
        </r>
      </text>
    </comment>
    <comment ref="B31" authorId="1">
      <text>
        <r>
          <rPr>
            <sz val="9"/>
            <color indexed="81"/>
            <rFont val="Tahoma"/>
            <family val="2"/>
          </rPr>
          <t xml:space="preserve">jumlah prosentase sampai dengan bulan ke-n
</t>
        </r>
      </text>
    </comment>
    <comment ref="B32" authorId="1">
      <text>
        <r>
          <rPr>
            <sz val="9"/>
            <color indexed="81"/>
            <rFont val="Tahoma"/>
            <family val="2"/>
          </rPr>
          <t xml:space="preserve">prosentase target bulan ke-n dikalikan bobot (18)
</t>
        </r>
      </text>
    </comment>
    <comment ref="F35" authorId="1">
      <text>
        <r>
          <rPr>
            <sz val="9"/>
            <color indexed="81"/>
            <rFont val="Tahoma"/>
            <family val="2"/>
          </rPr>
          <t xml:space="preserve">prosentase diisi sesuai sebaran target kinerja per bulan atau diisi sesuai bobot aktifitas proses pencapaian target kinerja
</t>
        </r>
      </text>
    </comment>
    <comment ref="H40" authorId="1">
      <text>
        <r>
          <rPr>
            <sz val="9"/>
            <color indexed="81"/>
            <rFont val="Tahoma"/>
            <family val="2"/>
          </rPr>
          <t>pembuatan SK tim, koordinasi persiapan</t>
        </r>
      </text>
    </comment>
    <comment ref="I40" authorId="1">
      <text>
        <r>
          <rPr>
            <sz val="9"/>
            <color indexed="81"/>
            <rFont val="Tahoma"/>
            <family val="2"/>
          </rPr>
          <t>koordinasi persiapan, inventarisasi dan verifikasi data peserta pelatihan, dll</t>
        </r>
      </text>
    </comment>
    <comment ref="J40" authorId="1">
      <text>
        <r>
          <rPr>
            <sz val="9"/>
            <color indexed="81"/>
            <rFont val="Tahoma"/>
            <family val="2"/>
          </rPr>
          <t>pelaksanaan pelatihan</t>
        </r>
      </text>
    </comment>
    <comment ref="F46" authorId="1">
      <text>
        <r>
          <rPr>
            <sz val="9"/>
            <color indexed="81"/>
            <rFont val="Tahoma"/>
            <family val="2"/>
          </rPr>
          <t>Diisi jumlah prosentase rencana target bulanan sampai dengan bulan ke-n</t>
        </r>
      </text>
    </comment>
  </commentList>
</comments>
</file>

<file path=xl/comments9.xml><?xml version="1.0" encoding="utf-8"?>
<comments xmlns="http://schemas.openxmlformats.org/spreadsheetml/2006/main">
  <authors>
    <author>toshibaku</author>
  </authors>
  <commentList>
    <comment ref="R14" authorId="0">
      <text>
        <r>
          <rPr>
            <b/>
            <sz val="9"/>
            <color indexed="81"/>
            <rFont val="Tahoma"/>
            <family val="2"/>
          </rPr>
          <t>Anggaran Total sesuai dengan DPA</t>
        </r>
      </text>
    </comment>
    <comment ref="T14" authorId="0">
      <text>
        <r>
          <rPr>
            <sz val="9"/>
            <color indexed="81"/>
            <rFont val="Tahoma"/>
            <family val="2"/>
          </rPr>
          <t>prosentase keseluruhan dari sub kegiatan/paket pekerjaan =harus 100%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Target Kinerja sesuai dengan DPA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Sesuai dengan DPA</t>
        </r>
      </text>
    </comment>
    <comment ref="R15" authorId="0">
      <text>
        <r>
          <rPr>
            <sz val="9"/>
            <color indexed="81"/>
            <rFont val="Tahoma"/>
            <family val="2"/>
          </rPr>
          <t xml:space="preserve">Anggaran per sub kegiatan/paket pekerjaan (terdiri dari jumlah belanja pegawai, belanja barang dan jasa, dan belanja modal)
</t>
        </r>
      </text>
    </comment>
    <comment ref="T15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prosentase target bulan ke-n
</t>
        </r>
      </text>
    </comment>
    <comment ref="B17" authorId="0">
      <text>
        <r>
          <rPr>
            <sz val="9"/>
            <color indexed="81"/>
            <rFont val="Tahoma"/>
            <family val="2"/>
          </rPr>
          <t xml:space="preserve">jumlah prosentase sampai dengan bulan ke-n
</t>
        </r>
      </text>
    </comment>
    <comment ref="B18" authorId="0">
      <text>
        <r>
          <rPr>
            <sz val="9"/>
            <color indexed="81"/>
            <rFont val="Tahoma"/>
            <family val="2"/>
          </rPr>
          <t xml:space="preserve">prosentase target bulan ke-n dikalikan bobot (18)
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Target Kinerja sesuai dengan DPA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Sesuai dengan DPA</t>
        </r>
      </text>
    </comment>
    <comment ref="R20" authorId="0">
      <text>
        <r>
          <rPr>
            <sz val="9"/>
            <color indexed="81"/>
            <rFont val="Tahoma"/>
            <family val="2"/>
          </rPr>
          <t xml:space="preserve">Anggaran per sub kegiatan/paket pekerjaan (terdiri dari jumlah belanja pegawai, belanja barang dan jasa, dan belanja modal)
</t>
        </r>
      </text>
    </comment>
    <comment ref="T20" authorId="0">
      <text>
        <r>
          <rPr>
            <sz val="9"/>
            <color indexed="81"/>
            <rFont val="Tahoma"/>
            <family val="2"/>
          </rPr>
          <t>anggaran sub kegiatan/paket pekerjaan dibagi anggaran total (dalam %)</t>
        </r>
      </text>
    </comment>
    <comment ref="B21" authorId="0">
      <text>
        <r>
          <rPr>
            <sz val="9"/>
            <color indexed="81"/>
            <rFont val="Tahoma"/>
            <family val="2"/>
          </rPr>
          <t xml:space="preserve">prosentase target bulan ke-n
</t>
        </r>
      </text>
    </comment>
    <comment ref="B22" authorId="0">
      <text>
        <r>
          <rPr>
            <sz val="9"/>
            <color indexed="81"/>
            <rFont val="Tahoma"/>
            <family val="2"/>
          </rPr>
          <t xml:space="preserve">jumlah prosentase sampai dengan bulan ke-n
</t>
        </r>
      </text>
    </comment>
    <comment ref="B23" authorId="0">
      <text>
        <r>
          <rPr>
            <sz val="9"/>
            <color indexed="81"/>
            <rFont val="Tahoma"/>
            <family val="2"/>
          </rPr>
          <t xml:space="preserve">prosentase target bulan ke-n dikalikan bobot (18)
</t>
        </r>
      </text>
    </comment>
  </commentList>
</comments>
</file>

<file path=xl/sharedStrings.xml><?xml version="1.0" encoding="utf-8"?>
<sst xmlns="http://schemas.openxmlformats.org/spreadsheetml/2006/main" count="1728" uniqueCount="352">
  <si>
    <t>RENCANA TARGET FISIK BULANAN</t>
  </si>
  <si>
    <t>KEGIATAN APBD TAHUN ANGGARAN 2019</t>
  </si>
  <si>
    <t>SKPD</t>
  </si>
  <si>
    <t>:</t>
  </si>
  <si>
    <t>BADAN KEPEGAWAIAN PENDIDIKAN DAN PELATIHAN</t>
  </si>
  <si>
    <t>Nama Kegiatan</t>
  </si>
  <si>
    <t>Penyediaan Rapat-rapat Koordinasi dan Konsultasi</t>
  </si>
  <si>
    <t>Anggaran</t>
  </si>
  <si>
    <t>Kegiatan/Sub Kegiatan/ Paket Pekerjaan</t>
  </si>
  <si>
    <t>Target Kinerja</t>
  </si>
  <si>
    <t>Waktu Pelaksanaan</t>
  </si>
  <si>
    <t>Target Fisik Bulanan</t>
  </si>
  <si>
    <t>Anggaran Perubahan</t>
  </si>
  <si>
    <t>Bobot</t>
  </si>
  <si>
    <t>Tw I</t>
  </si>
  <si>
    <t>Tw II</t>
  </si>
  <si>
    <t>Tw III</t>
  </si>
  <si>
    <t>Tw IV</t>
  </si>
  <si>
    <t xml:space="preserve">(16):S(16)x100 </t>
  </si>
  <si>
    <t>Jan</t>
  </si>
  <si>
    <t>Feb</t>
  </si>
  <si>
    <t>Mar</t>
  </si>
  <si>
    <t>Apr</t>
  </si>
  <si>
    <t>Mei</t>
  </si>
  <si>
    <t>Jun</t>
  </si>
  <si>
    <t>Jul</t>
  </si>
  <si>
    <t>Ags</t>
  </si>
  <si>
    <t>Sep</t>
  </si>
  <si>
    <t>Okt</t>
  </si>
  <si>
    <t>Nov</t>
  </si>
  <si>
    <t>Des</t>
  </si>
  <si>
    <t>Rp.</t>
  </si>
  <si>
    <t>%</t>
  </si>
  <si>
    <t>Makan dan minum yang tersedia untuk koordinasi</t>
  </si>
  <si>
    <t>orang</t>
  </si>
  <si>
    <t>12 bulan</t>
  </si>
  <si>
    <t>Prosentase rencana target bulanan</t>
  </si>
  <si>
    <t>Prosentase rencana target kumulatif</t>
  </si>
  <si>
    <t xml:space="preserve">Prosentase rencana target tertimbang </t>
  </si>
  <si>
    <t>Laporan hasil koordinasi dan konsultasi</t>
  </si>
  <si>
    <t>laporan</t>
  </si>
  <si>
    <t>Jumlah Rencana Target per bulan</t>
  </si>
  <si>
    <t>Jumlah Rencana Target Kumulatif</t>
  </si>
  <si>
    <t xml:space="preserve">Yogyakarta,    </t>
  </si>
  <si>
    <t>Mengetahui</t>
  </si>
  <si>
    <t>Plt. KEPALA BKPP KOTA YOGYAKARTA</t>
  </si>
  <si>
    <t>PPTK</t>
  </si>
  <si>
    <t>SARWANTO, SIP.,MM.</t>
  </si>
  <si>
    <t>RIA RINAWATI, SSTP.</t>
  </si>
  <si>
    <t>NIP. 197201311998031009</t>
  </si>
  <si>
    <t>NIP. 198001251998102001</t>
  </si>
  <si>
    <t>Penyusunan dokumen perencanaan, pengendalian dan laporan capaian kinerja SKPD</t>
  </si>
  <si>
    <t>1. Dokumen perencanaan, pengendalian dan penganggaran (Renstra, renja, PK, RKA, DPA)</t>
  </si>
  <si>
    <t>dok</t>
  </si>
  <si>
    <t>2. Laporan kinerja SKPD (LKIP, laporan keuangan dan fisik)</t>
  </si>
  <si>
    <t>jenis</t>
  </si>
  <si>
    <t>Plt. Kepala BKPP Kota Yogyakarta</t>
  </si>
  <si>
    <t>RIA RINAWATI, S.STP.</t>
  </si>
  <si>
    <t xml:space="preserve">RENCANA TARGET FISIK BULANAN </t>
  </si>
  <si>
    <t>: Badan Kepegawaian Pendidikan dan Pelatihan Kota Yogyakarta</t>
  </si>
  <si>
    <t xml:space="preserve"> </t>
  </si>
  <si>
    <t>: Penyediaan Jasa Peralatan dan Perlengkapan Kantor</t>
  </si>
  <si>
    <t>: Rp.</t>
  </si>
  <si>
    <r>
      <t>(16):</t>
    </r>
    <r>
      <rPr>
        <b/>
        <sz val="8"/>
        <rFont val="Symbol"/>
        <family val="1"/>
        <charset val="2"/>
      </rPr>
      <t>S(</t>
    </r>
    <r>
      <rPr>
        <b/>
        <sz val="8"/>
        <rFont val="SymbolPS"/>
      </rPr>
      <t>16)</t>
    </r>
    <r>
      <rPr>
        <b/>
        <sz val="8"/>
        <rFont val="Times New Roman"/>
        <family val="1"/>
      </rPr>
      <t xml:space="preserve">x100 </t>
    </r>
  </si>
  <si>
    <t>PENYEDIAAN JASA PERALATAN DAN PERLENGKAPAN KANTOR</t>
  </si>
  <si>
    <t>1. Jasa Tenaga Bantuan</t>
  </si>
  <si>
    <t xml:space="preserve">Prosentase rencana target bulanan </t>
  </si>
  <si>
    <t xml:space="preserve">Prosentase rencana target kumulatif </t>
  </si>
  <si>
    <t>Prosentase rencana target tertimbang</t>
  </si>
  <si>
    <t>2..Meterai 6000 yang tersedia</t>
  </si>
  <si>
    <t>lembar</t>
  </si>
  <si>
    <t>3. Meterai 3000 yang tersedia</t>
  </si>
  <si>
    <t>4. Jasa Pengiriman Paket</t>
  </si>
  <si>
    <t>kali</t>
  </si>
  <si>
    <t>5. Bahan peralatan kebersihan yang tersedia</t>
  </si>
  <si>
    <t>6. Jasa kebersihan kantor</t>
  </si>
  <si>
    <t>bulan</t>
  </si>
  <si>
    <t>7. Alat Tulis Kantor yang tersedia</t>
  </si>
  <si>
    <t>8. Jasa Penggandaan</t>
  </si>
  <si>
    <t>9.  Jasa Percetakan</t>
  </si>
  <si>
    <t>11 bulan</t>
  </si>
  <si>
    <t>10. Komponen instalasi listrik/penerangan bangunan kantor yang tersedia</t>
  </si>
  <si>
    <t>11.Bahan bacaan/ surat kabar yang tersedia</t>
  </si>
  <si>
    <t>12. Peraturan perundang-undangan yang tersedia</t>
  </si>
  <si>
    <t>buku</t>
  </si>
  <si>
    <t>13. Komponen peralatan dan perlengkapan kantor yang tersedia</t>
  </si>
  <si>
    <t>14. Pemeliharaan peralatan dan perlengkapan kantor yang tersedia</t>
  </si>
  <si>
    <t>15. Jasa pemeliharaan taman</t>
  </si>
  <si>
    <t>16. Jasa keamanan</t>
  </si>
  <si>
    <t>paket</t>
  </si>
  <si>
    <t>17. Jasa fumigasi</t>
  </si>
  <si>
    <t>1 bulan</t>
  </si>
  <si>
    <t>18. Pengadaan komputer</t>
  </si>
  <si>
    <t>19. Pengadaan perlengkapan kantor</t>
  </si>
  <si>
    <t>20. Pengadaan mebelair</t>
  </si>
  <si>
    <t>21. Pengadaan LCD</t>
  </si>
  <si>
    <t>22. Jasa pembayaran telepon dan komunikasi</t>
  </si>
  <si>
    <t>23. Jasa pembayaran listrik dan air</t>
  </si>
  <si>
    <t>Mengetahui :</t>
  </si>
  <si>
    <t>PA/KPA</t>
  </si>
  <si>
    <t>Sekretaris,</t>
  </si>
  <si>
    <t>SARWANTO, SIP, MM</t>
  </si>
  <si>
    <t>Pemeliharaan Rutin/ Berkala Gedung/ Bangunan Kantor</t>
  </si>
  <si>
    <t>Pemeliharaan meja</t>
  </si>
  <si>
    <t>buah</t>
  </si>
  <si>
    <t>Jasa pemeliharaan gedung/ bangunan kantor/ tempat</t>
  </si>
  <si>
    <t>April</t>
  </si>
  <si>
    <t>Juni</t>
  </si>
  <si>
    <t>Juli</t>
  </si>
  <si>
    <t>Pemeliharaan Rutin/ Berkala Kendaraan Dinas/ Operasional</t>
  </si>
  <si>
    <t>Jasa pemeliharaan kendaraan roda 4</t>
  </si>
  <si>
    <t>unit</t>
  </si>
  <si>
    <t>Jasa pemeliharaan kendaraan roda 2</t>
  </si>
  <si>
    <t>Bimbingan Teknis dan Diklat Peningkatan Kapasitas Aparatur</t>
  </si>
  <si>
    <t>Frekwensi diklat formal yang diikuti</t>
  </si>
  <si>
    <t xml:space="preserve">RENCANA TARGET FISIK </t>
  </si>
  <si>
    <t>: Badan Kepegawaian Pendidkan dan Pelatihan Kota Yogyakarta</t>
  </si>
  <si>
    <t>Nama Program</t>
  </si>
  <si>
    <t>: Pengembangan Karier Aparatur Sipil Negara</t>
  </si>
  <si>
    <t xml:space="preserve">Nama kegiatan </t>
  </si>
  <si>
    <t>: Penataan dan Rekrutmen Aparatur Sipil Negara</t>
  </si>
  <si>
    <t>Januari</t>
  </si>
  <si>
    <t>Februari</t>
  </si>
  <si>
    <t>Maret</t>
  </si>
  <si>
    <t>Agustus</t>
  </si>
  <si>
    <t>September</t>
  </si>
  <si>
    <t>Oktober</t>
  </si>
  <si>
    <t>November</t>
  </si>
  <si>
    <t>Desember</t>
  </si>
  <si>
    <t>Program/Kegiatan/ Paket Pekerjaan</t>
  </si>
  <si>
    <t>Perkembangan Fisik</t>
  </si>
  <si>
    <t>Perkembangan Keuangan</t>
  </si>
  <si>
    <t xml:space="preserve">Pencapaian </t>
  </si>
  <si>
    <t>Realisasi</t>
  </si>
  <si>
    <t xml:space="preserve">Prosen </t>
  </si>
  <si>
    <t xml:space="preserve">Prosentase </t>
  </si>
  <si>
    <t>Prosen</t>
  </si>
  <si>
    <t>Perkembangan</t>
  </si>
  <si>
    <r>
      <t>4:</t>
    </r>
    <r>
      <rPr>
        <sz val="10"/>
        <rFont val="SymbolPS"/>
      </rPr>
      <t>S4</t>
    </r>
    <r>
      <rPr>
        <sz val="10"/>
        <rFont val="Times New Roman"/>
        <family val="1"/>
      </rPr>
      <t xml:space="preserve">x100 </t>
    </r>
  </si>
  <si>
    <t>Target/</t>
  </si>
  <si>
    <t>Fisik</t>
  </si>
  <si>
    <t>Tertimbang</t>
  </si>
  <si>
    <t>Penggunaan</t>
  </si>
  <si>
    <t>Keuangan</t>
  </si>
  <si>
    <t>Pelaksanaan</t>
  </si>
  <si>
    <t>Rekrutmen Aparatur Sipil Negara</t>
  </si>
  <si>
    <t>1. Penyusunan Formasi Pegawai Pemerintah Kota Yogyakarta Tahun 2019</t>
  </si>
  <si>
    <t>dokumen</t>
  </si>
  <si>
    <t>lap</t>
  </si>
  <si>
    <t xml:space="preserve">Prosentase rencana realisasi bulan </t>
  </si>
  <si>
    <t xml:space="preserve">Prosentase rencana realisasi kumulatif </t>
  </si>
  <si>
    <t>Prosentase rencana realisasi tertimbang</t>
  </si>
  <si>
    <t>2. Pengadaan ASN Pemerintah Kota Yogyakarta Tahun 2019</t>
  </si>
  <si>
    <t>3. Pengelolaan Tenaga ASN Non PNS Pemerintah Kota Yogyakarta Tahun 2019</t>
  </si>
  <si>
    <t>*Selisih</t>
  </si>
  <si>
    <t xml:space="preserve">Yogyakarta,  </t>
  </si>
  <si>
    <t>Yogyakarta,     Februari 2013</t>
  </si>
  <si>
    <t>PPTK/PPKom</t>
  </si>
  <si>
    <t>Sarwanto, SIP., MM.</t>
  </si>
  <si>
    <t>Gunawan Adhi P, S.Si, M.Kom</t>
  </si>
  <si>
    <t>MUH ZANDARU BP, ST</t>
  </si>
  <si>
    <t>NIP.19730715 200501 1 011</t>
  </si>
  <si>
    <t>NIP. 19750505 199903 1 008</t>
  </si>
  <si>
    <t>PENGEMBANGAN KARIER APARATUR SIPIL NEGARA</t>
  </si>
  <si>
    <t>1. JPT Pratama, Administrator dan Pengawas yang Ditata</t>
  </si>
  <si>
    <t>10 bulan</t>
  </si>
  <si>
    <t>keg</t>
  </si>
  <si>
    <t>Draft pembentukan asesmen centre</t>
  </si>
  <si>
    <t>2. Pengisian formasi JPT Pratama</t>
  </si>
  <si>
    <r>
      <t>3. Mengelola</t>
    </r>
    <r>
      <rPr>
        <i/>
        <sz val="8"/>
        <rFont val="Calibri"/>
        <family val="2"/>
        <scheme val="minor"/>
      </rPr>
      <t xml:space="preserve"> Talent Pool</t>
    </r>
  </si>
  <si>
    <t xml:space="preserve">Telah dilaksanakan 13 pengendalian fisik lapangan dalam masa pemeliharaan kegiatan tahun 2012 </t>
  </si>
  <si>
    <t>5. Pengambilan Sumpah dan Pelantikan Pejabat</t>
  </si>
  <si>
    <t>Pelantikan Pejabat Struktural dan Kepala Sekolah</t>
  </si>
  <si>
    <t>Uji Kompetensi/Asesmen Psikologis</t>
  </si>
  <si>
    <t>Terbitnya SK Struktural dan Kepala Sekolah dan pengangkatan dalam jabatan</t>
  </si>
  <si>
    <t>Terlaksananya Penataan Personil</t>
  </si>
  <si>
    <t>Terlaksananya monitoring dan evaluasi penempatan pegawai</t>
  </si>
  <si>
    <t>4. Terlaksananya Penataan Personil</t>
  </si>
  <si>
    <t>5. Terlaksananya monitoring dan evaluasi penempatan pegawai</t>
  </si>
  <si>
    <t>PA/ KPA</t>
  </si>
  <si>
    <t>DINA VITA MARATILOVA, SH, MH</t>
  </si>
  <si>
    <t>NIP. 19830506 200604 2 012</t>
  </si>
  <si>
    <t>PENGELOLAAN DATA DAN INFORMASI KEPEGAWAIAN</t>
  </si>
  <si>
    <t>1. Pengelolaan Layanan Informasi Kepegawaian</t>
  </si>
  <si>
    <t>2. Pemutakhiran Data Pegawai</t>
  </si>
  <si>
    <t>data</t>
  </si>
  <si>
    <t>3. Pengelolaan Arsip Pegawai</t>
  </si>
  <si>
    <t>4. Cetak ID CARD</t>
  </si>
  <si>
    <t>Buah</t>
  </si>
  <si>
    <t>3 bulan</t>
  </si>
  <si>
    <t>Plt. KEPALA BADAN KEPEGAWAIAN PENDIDIKAN DAN PELATIHAN</t>
  </si>
  <si>
    <t xml:space="preserve">SEKRETARIS, </t>
  </si>
  <si>
    <t>SARWANTO, SIP., MM.</t>
  </si>
  <si>
    <t>SILVA DAHONO, SE</t>
  </si>
  <si>
    <t>NIP. 198407272009021003</t>
  </si>
  <si>
    <t>OPERASIONAL ASSESMENT CENTER</t>
  </si>
  <si>
    <t>1. Alat Penilaian Kompetensi</t>
  </si>
  <si>
    <t>Paket</t>
  </si>
  <si>
    <t>2. ASN yang mengikuti Penilaian Kompetensi</t>
  </si>
  <si>
    <t>Orang</t>
  </si>
  <si>
    <t>8 bulan</t>
  </si>
  <si>
    <t>3. Konseling Pegawai</t>
  </si>
  <si>
    <t>Kali</t>
  </si>
  <si>
    <t>Plt. Kepala Badan Kepegawaian Pendidikan dan Pelatihan</t>
  </si>
  <si>
    <t>DODI KURNIANTO, SSTP, M.Si</t>
  </si>
  <si>
    <t>NIP. 19801228200003 1 002</t>
  </si>
  <si>
    <t>NIP. 19720131199803 1 009</t>
  </si>
  <si>
    <t>: Penatausahaan Kepegawaian</t>
  </si>
  <si>
    <t>PENATAUSAHAAN KEPEGAWAIAN</t>
  </si>
  <si>
    <t>1. Dokumen Rekapitulasi Surat Keterangan Cuti</t>
  </si>
  <si>
    <t>Dok</t>
  </si>
  <si>
    <t>2.. Karis/Karsu/karpeg/KPE yang diterbitkan</t>
  </si>
  <si>
    <t>kartu</t>
  </si>
  <si>
    <t>3.Jumlah ASN yang mendapatkan Satyalancana</t>
  </si>
  <si>
    <t>4. Jumlah yang terlayani TASPEN</t>
  </si>
  <si>
    <t>5. Jumlah yang terlayani Kenaikan Gaji Berkala, KP4, dan Inpassing Gaji</t>
  </si>
  <si>
    <t>6. Dokumen Penilaian Kinerja Pegawai</t>
  </si>
  <si>
    <t>7. Dokumen Jaminan Kecelakaan Kerja dan Jaminan Kematian yang diproses</t>
  </si>
  <si>
    <t>8. Jumlah yang terlayani LHKPN dan LHKASN</t>
  </si>
  <si>
    <t>9.  Penilaian angka kredit</t>
  </si>
  <si>
    <t>pej.fungs.</t>
  </si>
  <si>
    <t>10. SK jabatan fungsional yang terbit</t>
  </si>
  <si>
    <t>SK</t>
  </si>
  <si>
    <t>11.Jumlah pejabat fungsional yang mengikuti pembinaan</t>
  </si>
  <si>
    <t>12. Jumlah ASN yang mengikuti sosialisasi jabatan fungsional</t>
  </si>
  <si>
    <t>Pejabat Pelaksana Teknis Kegiatan</t>
  </si>
  <si>
    <t>WURI WIDAYATI, SH</t>
  </si>
  <si>
    <t>NIP. 198005262006042011</t>
  </si>
  <si>
    <t>: Pembinaan dan Kesejahteraan Pegawai</t>
  </si>
  <si>
    <r>
      <t>(16):</t>
    </r>
    <r>
      <rPr>
        <sz val="8"/>
        <rFont val="Symbol"/>
        <family val="1"/>
        <charset val="2"/>
      </rPr>
      <t>S(</t>
    </r>
    <r>
      <rPr>
        <sz val="8"/>
        <rFont val="SymbolPS"/>
      </rPr>
      <t>16)</t>
    </r>
    <r>
      <rPr>
        <sz val="8"/>
        <rFont val="Times New Roman"/>
        <family val="1"/>
      </rPr>
      <t xml:space="preserve">x100 </t>
    </r>
  </si>
  <si>
    <t>PEMBINAAN  DAN KESEJAHTERAAN ASN</t>
  </si>
  <si>
    <t>1. Dokumen Terlaksananya Pemberian Hukuman Disiplin Pegawai</t>
  </si>
  <si>
    <t>Dokumen</t>
  </si>
  <si>
    <t>2. Dokumen Presensi dan Tambahan Penghasilan Pegawai</t>
  </si>
  <si>
    <t>3. Dokumen Administrasi Perceraian</t>
  </si>
  <si>
    <t>4. Frekuensi Pembinaan Mental Spiritual</t>
  </si>
  <si>
    <t>5. Dokumen Pelaksanaan Uji Kesehatan</t>
  </si>
  <si>
    <t>6. Jumlah ASN Yang Diproses Pemberhentian dan Pensiun</t>
  </si>
  <si>
    <t xml:space="preserve">7. Fasilitasi Kegiatan Korpri </t>
  </si>
  <si>
    <t>7 bulan</t>
  </si>
  <si>
    <t>MAY INDRA, S.Kom</t>
  </si>
  <si>
    <t>NIP. 196605301997031003</t>
  </si>
  <si>
    <t>KEGIATAN APBD TAHUN ANGGARAN 2018</t>
  </si>
  <si>
    <t>: Badan Kepegawaian Daerah Kota Yogyakarta</t>
  </si>
  <si>
    <t xml:space="preserve">: Pelayanan Administrasi Kepegawaian </t>
  </si>
  <si>
    <t xml:space="preserve">: Mutasi Data Kepegawaian </t>
  </si>
  <si>
    <r>
      <t>4:</t>
    </r>
    <r>
      <rPr>
        <sz val="8"/>
        <rFont val="SymbolPS"/>
      </rPr>
      <t>S4</t>
    </r>
    <r>
      <rPr>
        <sz val="8"/>
        <rFont val="Times New Roman"/>
        <family val="1"/>
      </rPr>
      <t xml:space="preserve">x100 </t>
    </r>
  </si>
  <si>
    <t>Mutasi Data Kepegawaian</t>
  </si>
  <si>
    <t>1. Periodesasi dan validasi Data kenaikan pangkat PNS</t>
  </si>
  <si>
    <t>12 Bulan</t>
  </si>
  <si>
    <t xml:space="preserve">2 .Dokumen  Peninjauan Masa kerja </t>
  </si>
  <si>
    <t xml:space="preserve">Dokumen </t>
  </si>
  <si>
    <t xml:space="preserve">11 bulan </t>
  </si>
  <si>
    <t xml:space="preserve">3.  Dokumen Status Kepegawaian  </t>
  </si>
  <si>
    <t xml:space="preserve">4. Jumlah SK Kenaikan Panagkat Yang Diterbitkan </t>
  </si>
  <si>
    <t xml:space="preserve">Orang </t>
  </si>
  <si>
    <t>5.Jumlah Penataan ASN Pemerintah Kota Yogyakarta</t>
  </si>
  <si>
    <t xml:space="preserve">11 Bulan </t>
  </si>
  <si>
    <t xml:space="preserve">         Prosentase rencana target bulanan </t>
  </si>
  <si>
    <t xml:space="preserve">        Prosentase rencana target kumulatif </t>
  </si>
  <si>
    <t xml:space="preserve">        Prosentase rencana target tertimbang</t>
  </si>
  <si>
    <t>6. Dokumen Perpndahan Masuk/Kelaur / Titipan</t>
  </si>
  <si>
    <t xml:space="preserve">        Prosentase rencana target bulanan </t>
  </si>
  <si>
    <t xml:space="preserve">         Prosentase rencana target kumulatif </t>
  </si>
  <si>
    <t>*Selisih/efisiensi</t>
  </si>
  <si>
    <t>Andriana Widiantari,S.Psi</t>
  </si>
  <si>
    <t>NIP. 198004152005012011</t>
  </si>
  <si>
    <t>SKPD/Unit Kerja</t>
  </si>
  <si>
    <t>: Badan Kepegawaian dan Pendidikan Pelatihan</t>
  </si>
  <si>
    <t>: Peningkatan Kompetensi Aparatur Sipil Negara</t>
  </si>
  <si>
    <t>: Penyelenggaraan Pendidikan dan Pelatihan</t>
  </si>
  <si>
    <t>: Rp.6.591.790.000,-</t>
  </si>
  <si>
    <r>
      <t>16:</t>
    </r>
    <r>
      <rPr>
        <sz val="8"/>
        <rFont val="SymbolPS"/>
      </rPr>
      <t>S16</t>
    </r>
    <r>
      <rPr>
        <sz val="8"/>
        <rFont val="Times New Roman"/>
        <family val="1"/>
      </rPr>
      <t xml:space="preserve">x100 </t>
    </r>
  </si>
  <si>
    <t>Penyelenggaraan Diklat</t>
  </si>
  <si>
    <t>1. Pengiriman Diklat Teknis/Fungsional</t>
  </si>
  <si>
    <t>(a)</t>
  </si>
  <si>
    <t>org</t>
  </si>
  <si>
    <t>12 bln</t>
  </si>
  <si>
    <t>(b)</t>
  </si>
  <si>
    <t>(c.)</t>
  </si>
  <si>
    <t>(d)</t>
  </si>
  <si>
    <t>2. Diklatpim Tk. II</t>
  </si>
  <si>
    <t>4 bln</t>
  </si>
  <si>
    <t>0</t>
  </si>
  <si>
    <t>3. Diklatpim Tk. III</t>
  </si>
  <si>
    <t>10 bln</t>
  </si>
  <si>
    <t>4.  Diklatpim IV</t>
  </si>
  <si>
    <t>11 bln</t>
  </si>
  <si>
    <t>5. Diklat Prajabatan</t>
  </si>
  <si>
    <t>6. Diklat Teknis</t>
  </si>
  <si>
    <t xml:space="preserve">    </t>
  </si>
  <si>
    <t>(e)</t>
  </si>
  <si>
    <t>(f)</t>
  </si>
  <si>
    <t xml:space="preserve">Yogyakarta,        </t>
  </si>
  <si>
    <t xml:space="preserve">Sekretaris, </t>
  </si>
  <si>
    <t>Dra. INDAH SETIAWATI</t>
  </si>
  <si>
    <t>NIP. 196309061991022001</t>
  </si>
  <si>
    <t>: Badan Kepegawaian Pendidikan dan  Pelatihan</t>
  </si>
  <si>
    <t>: Pengendalian dan Pengembangan Pendidikan dan Pelatihan</t>
  </si>
  <si>
    <t>Pengendalian dan Pengembangan Pendidikan dan Pelatihan</t>
  </si>
  <si>
    <t>1. Laporan Monitoring dan Evaluasi Pasca Diklat</t>
  </si>
  <si>
    <t>2. Frekuensi Monitoring dan Evaluasi Pegawai</t>
  </si>
  <si>
    <t>3. Jumlah Seleksi Calon Peserta Diklat</t>
  </si>
  <si>
    <t xml:space="preserve">    Tugas Belajar</t>
  </si>
  <si>
    <t>4. Jumlah yang diberi Izin Belajar dan Tugas Belajar PNS</t>
  </si>
  <si>
    <t>5. Jumlah yang diberi Bantuan Biaya Tugas Belajar bagi PNS</t>
  </si>
  <si>
    <t xml:space="preserve">    PNS</t>
  </si>
  <si>
    <t>6. Jumlah yang dimonitoring dan evaluasi peserta tugas belajar dan ijin belajar</t>
  </si>
  <si>
    <t xml:space="preserve">    dan Ijin Belajar</t>
  </si>
  <si>
    <t>7. Jumlah usulan Ijin Keluar Negeri</t>
  </si>
  <si>
    <t xml:space="preserve">    Khusus Kediklatan</t>
  </si>
  <si>
    <t>Pt. Kepala BKPP Kota Yogyakarta</t>
  </si>
  <si>
    <t>HAYU SUKIYOPRAPTI, SH</t>
  </si>
  <si>
    <t>NIP. 19670606 199303 2 001</t>
  </si>
  <si>
    <t>Keterangan :</t>
  </si>
  <si>
    <t>Pengiriman Diklat TF bg PNS</t>
  </si>
  <si>
    <t>- Diklat TF</t>
  </si>
  <si>
    <t>- Pelatihan Jabatan Fung Tertentu</t>
  </si>
  <si>
    <t>Diklat Teknis Fungsional bg ASN.</t>
  </si>
  <si>
    <t>- Diklat PBJ</t>
  </si>
  <si>
    <t>agustus</t>
  </si>
  <si>
    <t>- Ujian PBJ</t>
  </si>
  <si>
    <t>- Diklat Peng. Keuangan</t>
  </si>
  <si>
    <t>oktober</t>
  </si>
  <si>
    <t>- Diklat Peng. Kepegawaian</t>
  </si>
  <si>
    <t>september</t>
  </si>
  <si>
    <t>- Diklat Peng. Kegiatan</t>
  </si>
  <si>
    <t>maret</t>
  </si>
  <si>
    <t>- Pelatihan Pelayanan Prima</t>
  </si>
  <si>
    <t>- Diklat Penyus. Renstra SKPD</t>
  </si>
  <si>
    <t>februari</t>
  </si>
  <si>
    <t>- Pelatihan Motivasi Berprestasi</t>
  </si>
  <si>
    <t>- Diklat Penyus. Legal Drafting</t>
  </si>
  <si>
    <t>juli</t>
  </si>
  <si>
    <t>- Bintek Adm. Perkantoran</t>
  </si>
  <si>
    <t>- Diklat Peningkt. Kapasitas Kel/Kec</t>
  </si>
  <si>
    <t>mei</t>
  </si>
  <si>
    <t>- Diklat Auditor Forensik</t>
  </si>
  <si>
    <t>- IHT Pengembangan Diri</t>
  </si>
  <si>
    <t>april</t>
  </si>
  <si>
    <t>- Pengiriman Pelath.. Publik Speaking</t>
  </si>
  <si>
    <t>Badan Kepegawaian dan Pendidikan Pelatihan</t>
  </si>
  <si>
    <t>Peningkatan Kompetensi Aparatur Sipil Negara</t>
  </si>
  <si>
    <t>Analisa Kebutuhan Diklat</t>
  </si>
  <si>
    <t>1. Dokumen Perencanaan Diklat JPT Pratama dan Jabatan Administrasi</t>
  </si>
  <si>
    <t>11bln</t>
  </si>
  <si>
    <t>(c)</t>
  </si>
  <si>
    <t>2. Dokumen Analisa Kebutuhan Diklat</t>
  </si>
  <si>
    <t>3. ASN yang mengikuti ujian dinas dan ujian kenaikan pangkat penyesuaian ijazah</t>
  </si>
  <si>
    <t>4. Dokumen Penyusunan Standar Kompetensi</t>
  </si>
  <si>
    <t>EDI KUSNANDAR, S.Pd.</t>
  </si>
  <si>
    <t>NIP. 198602272011011003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</si>
</sst>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-&quot;Rp&quot;* #,##0_-;\-&quot;Rp&quot;* #,##0_-;_-&quot;Rp&quot;* &quot;-&quot;_-;_-@_-"/>
    <numFmt numFmtId="41" formatCode="_-* #,##0_-;\-* #,##0_-;_-* &quot;-&quot;_-;_-@_-"/>
    <numFmt numFmtId="43" formatCode="_-* #,##0.00_-;\-* #,##0.00_-;_-* &quot;-&quot;??_-;_-@_-"/>
    <numFmt numFmtId="164" formatCode="_([$Rp-421]* #,##0.00_);_([$Rp-421]* \(#,##0.00\);_([$Rp-421]* &quot;-&quot;??_);_(@_)"/>
    <numFmt numFmtId="165" formatCode="_(* #,##0.00_);_(* \(#,##0.00\);_(* &quot;-&quot;??_);_(@_)"/>
    <numFmt numFmtId="166" formatCode="_(* #,##0_);_(* \(#,##0\);_(* &quot;-&quot;??_);_(@_)"/>
    <numFmt numFmtId="167" formatCode="_(* #,##0_);_(* \(#,##0\);_(* &quot;-&quot;_);_(@_)"/>
    <numFmt numFmtId="168" formatCode="_(* #,##0.00_);_(* \(#,##0.00\);_(* &quot;-&quot;???_);_(@_)"/>
    <numFmt numFmtId="169" formatCode="_(* #,##0_);_(* \(#,##0\);_(* &quot;-&quot;???_);_(@_)"/>
    <numFmt numFmtId="170" formatCode="_(* #,##0_);_(* \(#,##0\);_(* \-_);_(@_)"/>
    <numFmt numFmtId="171" formatCode="&quot;Rp&quot;#,##0.00"/>
    <numFmt numFmtId="172" formatCode="[$Rp-421]#,##0.00;[Red]&quot;(&quot;[$Rp-421]#,##0.00&quot;)&quot;"/>
    <numFmt numFmtId="173" formatCode="#00"/>
    <numFmt numFmtId="174" formatCode="_(&quot;Rp&quot;* #,##0.00_);_(&quot;Rp&quot;* \(#,##0.00\);_(&quot;Rp&quot;* &quot;-&quot;??_);_(@_)"/>
    <numFmt numFmtId="175" formatCode="_(* #,##0.000_);_(* \(#,##0.000\);_(* &quot;-&quot;??_);_(@_)"/>
    <numFmt numFmtId="176" formatCode="_(* #,##0.0_);_(* \(#,##0.0\);_(* &quot;-&quot;??_);_(@_)"/>
    <numFmt numFmtId="177" formatCode="#,##0.000_);\(#,##0.000\)"/>
    <numFmt numFmtId="178" formatCode="#,##0.00000_);\(#,##0.00000\)"/>
    <numFmt numFmtId="179" formatCode="#,##0.0_);\(#,##0.0\)"/>
    <numFmt numFmtId="180" formatCode="_(* #,##0.00_);_(* \(#,##0.00\);_(* &quot;-&quot;_);_(@_)"/>
    <numFmt numFmtId="181" formatCode="&quot;Rp&quot;#,##0.00_);[Red]&quot;(Rp&quot;#,##0.00\)"/>
    <numFmt numFmtId="183" formatCode="[$-409]General"/>
    <numFmt numFmtId="186" formatCode="#,##0;[Red]#,##0"/>
    <numFmt numFmtId="187" formatCode="_(* #,##0.000000_);_(* \(#,##0.000000\);_(* &quot;-&quot;??_);_(@_)"/>
    <numFmt numFmtId="188" formatCode="_(* #,##0.00_);_(* \(#,##0.00\);_(* \-??_);_(@_)"/>
    <numFmt numFmtId="189" formatCode="_(&quot;Rp&quot;* #,##0_);_(&quot;Rp&quot;* \(#,##0\);_(&quot;Rp&quot;* &quot;-&quot;_);_(@_)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2"/>
      <name val="Calibri"/>
      <family val="2"/>
      <scheme val="minor"/>
    </font>
    <font>
      <sz val="10"/>
      <name val="Arial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Times New Roman"/>
      <family val="1"/>
    </font>
    <font>
      <sz val="11"/>
      <name val="Calibri"/>
      <family val="2"/>
      <scheme val="minor"/>
    </font>
    <font>
      <sz val="11"/>
      <name val="Cambria"/>
      <family val="1"/>
      <scheme val="major"/>
    </font>
    <font>
      <b/>
      <u/>
      <sz val="11"/>
      <name val="Cambria"/>
      <family val="1"/>
      <scheme val="major"/>
    </font>
    <font>
      <b/>
      <u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imes New Roman"/>
      <family val="1"/>
    </font>
    <font>
      <sz val="11"/>
      <color indexed="8"/>
      <name val="Calibri"/>
      <family val="2"/>
      <charset val="1"/>
    </font>
    <font>
      <sz val="10"/>
      <name val="Times New Roman"/>
      <family val="1"/>
      <charset val="1"/>
    </font>
    <font>
      <sz val="10"/>
      <color indexed="8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  <charset val="1"/>
    </font>
    <font>
      <b/>
      <sz val="8"/>
      <name val="Symbol"/>
      <family val="1"/>
      <charset val="2"/>
    </font>
    <font>
      <b/>
      <sz val="8"/>
      <name val="SymbolPS"/>
    </font>
    <font>
      <b/>
      <sz val="8"/>
      <name val="Times New Roman"/>
      <family val="1"/>
    </font>
    <font>
      <sz val="6"/>
      <name val="Times New Roman"/>
      <family val="1"/>
    </font>
    <font>
      <sz val="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u/>
      <sz val="11"/>
      <name val="Times New Roman"/>
      <family val="1"/>
    </font>
    <font>
      <b/>
      <u/>
      <sz val="12"/>
      <name val="Times New Roman"/>
      <family val="1"/>
    </font>
    <font>
      <sz val="10"/>
      <name val="Tahoma"/>
      <family val="2"/>
    </font>
    <font>
      <sz val="10"/>
      <name val="SymbolPS"/>
    </font>
    <font>
      <b/>
      <u/>
      <sz val="10"/>
      <name val="Times New Roman"/>
      <family val="1"/>
    </font>
    <font>
      <sz val="8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charset val="1"/>
      <scheme val="minor"/>
    </font>
    <font>
      <b/>
      <u/>
      <sz val="10"/>
      <name val="Tahoma"/>
      <family val="2"/>
    </font>
    <font>
      <sz val="10"/>
      <color rgb="FFFF0000"/>
      <name val="Times New Roman"/>
      <family val="1"/>
    </font>
    <font>
      <sz val="8"/>
      <name val="Symbol"/>
      <family val="1"/>
      <charset val="2"/>
    </font>
    <font>
      <sz val="8"/>
      <name val="SymbolPS"/>
    </font>
    <font>
      <b/>
      <u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name val="Times New Roman"/>
      <family val="1"/>
    </font>
    <font>
      <sz val="11"/>
      <name val="Arial"/>
      <family val="2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9"/>
      <name val="Times New Roman"/>
      <family val="1"/>
    </font>
    <font>
      <sz val="10"/>
      <color rgb="FF000000"/>
      <name val="Verdana"/>
      <family val="2"/>
    </font>
    <font>
      <b/>
      <sz val="9"/>
      <name val="Times New Roman"/>
      <family val="1"/>
    </font>
    <font>
      <sz val="9"/>
      <name val="Arial"/>
      <family val="2"/>
    </font>
    <font>
      <sz val="9"/>
      <color rgb="FFFF0000"/>
      <name val="Times New Roman"/>
      <family val="1"/>
    </font>
    <font>
      <b/>
      <u/>
      <sz val="9"/>
      <name val="Times New Roman"/>
      <family val="1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53"/>
      </bottom>
      <diagonal/>
    </border>
    <border>
      <left/>
      <right style="thin">
        <color indexed="64"/>
      </right>
      <top style="thin">
        <color indexed="64"/>
      </top>
      <bottom style="hair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5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5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53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5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53"/>
      </bottom>
      <diagonal/>
    </border>
    <border>
      <left style="thin">
        <color indexed="64"/>
      </left>
      <right style="thin">
        <color indexed="64"/>
      </right>
      <top/>
      <bottom style="hair">
        <color indexed="53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53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53"/>
      </bottom>
      <diagonal/>
    </border>
    <border>
      <left/>
      <right style="medium">
        <color indexed="64"/>
      </right>
      <top style="thin">
        <color indexed="64"/>
      </top>
      <bottom style="hair">
        <color indexed="5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53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144">
    <xf numFmtId="0" fontId="0" fillId="0" borderId="0"/>
    <xf numFmtId="0" fontId="2" fillId="0" borderId="0">
      <alignment vertical="center"/>
    </xf>
    <xf numFmtId="0" fontId="4" fillId="0" borderId="0"/>
    <xf numFmtId="170" fontId="7" fillId="0" borderId="0" applyFill="0" applyBorder="0" applyAlignment="0" applyProtection="0"/>
    <xf numFmtId="171" fontId="20" fillId="0" borderId="0"/>
    <xf numFmtId="172" fontId="20" fillId="0" borderId="0"/>
    <xf numFmtId="167" fontId="21" fillId="0" borderId="0" applyFont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67" fontId="8" fillId="0" borderId="0" applyFont="0" applyFill="0" applyBorder="0" applyAlignment="0" applyProtection="0">
      <alignment vertical="center"/>
    </xf>
    <xf numFmtId="167" fontId="8" fillId="0" borderId="0" applyFont="0" applyFill="0" applyBorder="0" applyAlignment="0" applyProtection="0">
      <alignment vertical="center"/>
    </xf>
    <xf numFmtId="3" fontId="23" fillId="0" borderId="0"/>
    <xf numFmtId="167" fontId="21" fillId="0" borderId="0" applyFont="0" applyFill="0" applyBorder="0" applyAlignment="0" applyProtection="0"/>
    <xf numFmtId="171" fontId="24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21" fillId="0" borderId="0" applyFont="0" applyFill="0" applyBorder="0" applyAlignment="0" applyProtection="0"/>
    <xf numFmtId="165" fontId="8" fillId="0" borderId="0" applyFont="0" applyFill="0" applyBorder="0" applyAlignment="0" applyProtection="0">
      <alignment vertical="center"/>
    </xf>
    <xf numFmtId="165" fontId="8" fillId="0" borderId="0" applyFont="0" applyFill="0" applyBorder="0" applyAlignment="0" applyProtection="0">
      <alignment vertical="center"/>
    </xf>
    <xf numFmtId="165" fontId="8" fillId="0" borderId="0" applyFill="0" applyBorder="0" applyAlignment="0" applyProtection="0"/>
    <xf numFmtId="165" fontId="25" fillId="0" borderId="0" applyProtection="0"/>
    <xf numFmtId="170" fontId="8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/>
    <xf numFmtId="170" fontId="24" fillId="0" borderId="0" applyFill="0" applyBorder="0" applyAlignment="0" applyProtection="0"/>
    <xf numFmtId="0" fontId="27" fillId="0" borderId="0">
      <alignment horizontal="center"/>
    </xf>
    <xf numFmtId="0" fontId="27" fillId="0" borderId="0">
      <alignment horizontal="center" textRotation="9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23" fillId="0" borderId="0"/>
    <xf numFmtId="0" fontId="24" fillId="0" borderId="0"/>
    <xf numFmtId="0" fontId="8" fillId="0" borderId="0"/>
    <xf numFmtId="0" fontId="26" fillId="0" borderId="0"/>
    <xf numFmtId="0" fontId="22" fillId="0" borderId="0"/>
    <xf numFmtId="0" fontId="8" fillId="0" borderId="0"/>
    <xf numFmtId="0" fontId="22" fillId="0" borderId="0"/>
    <xf numFmtId="0" fontId="28" fillId="0" borderId="0"/>
    <xf numFmtId="9" fontId="22" fillId="0" borderId="0" applyFill="0" applyBorder="0" applyAlignment="0" applyProtection="0"/>
    <xf numFmtId="0" fontId="29" fillId="0" borderId="0"/>
    <xf numFmtId="172" fontId="29" fillId="0" borderId="0"/>
    <xf numFmtId="167" fontId="26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7" fillId="0" borderId="0"/>
    <xf numFmtId="0" fontId="26" fillId="0" borderId="0"/>
    <xf numFmtId="0" fontId="26" fillId="0" borderId="0"/>
    <xf numFmtId="181" fontId="20" fillId="0" borderId="0"/>
    <xf numFmtId="0" fontId="4" fillId="0" borderId="0"/>
    <xf numFmtId="41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2" fillId="0" borderId="0"/>
    <xf numFmtId="0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88" fontId="8" fillId="0" borderId="0" applyFill="0" applyBorder="0" applyAlignment="0" applyProtection="0"/>
    <xf numFmtId="0" fontId="26" fillId="0" borderId="0"/>
    <xf numFmtId="0" fontId="26" fillId="0" borderId="0"/>
    <xf numFmtId="0" fontId="8" fillId="0" borderId="0"/>
    <xf numFmtId="0" fontId="1" fillId="0" borderId="0"/>
  </cellStyleXfs>
  <cellXfs count="1465">
    <xf numFmtId="0" fontId="0" fillId="0" borderId="0" xfId="0"/>
    <xf numFmtId="0" fontId="3" fillId="0" borderId="0" xfId="1" applyFont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2" applyFont="1" applyAlignment="1">
      <alignment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21" xfId="1" quotePrefix="1" applyFont="1" applyFill="1" applyBorder="1" applyAlignment="1">
      <alignment horizontal="center" vertical="center"/>
    </xf>
    <xf numFmtId="0" fontId="9" fillId="2" borderId="13" xfId="1" quotePrefix="1" applyFont="1" applyFill="1" applyBorder="1" applyAlignment="1">
      <alignment horizontal="center" vertical="center"/>
    </xf>
    <xf numFmtId="0" fontId="9" fillId="2" borderId="15" xfId="1" quotePrefix="1" applyFont="1" applyFill="1" applyBorder="1" applyAlignment="1">
      <alignment horizontal="center" vertical="center"/>
    </xf>
    <xf numFmtId="0" fontId="9" fillId="2" borderId="15" xfId="1" quotePrefix="1" applyFont="1" applyFill="1" applyBorder="1" applyAlignment="1">
      <alignment horizontal="center" vertical="center"/>
    </xf>
    <xf numFmtId="0" fontId="9" fillId="2" borderId="22" xfId="1" quotePrefix="1" applyFont="1" applyFill="1" applyBorder="1" applyAlignment="1">
      <alignment horizontal="center" vertical="center"/>
    </xf>
    <xf numFmtId="0" fontId="9" fillId="2" borderId="23" xfId="1" quotePrefix="1" applyFont="1" applyFill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9" xfId="1" applyFont="1" applyBorder="1" applyAlignment="1">
      <alignment vertical="center"/>
    </xf>
    <xf numFmtId="0" fontId="9" fillId="0" borderId="24" xfId="1" applyFont="1" applyBorder="1" applyAlignment="1">
      <alignment horizontal="center" vertical="center"/>
    </xf>
    <xf numFmtId="0" fontId="9" fillId="0" borderId="11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165" fontId="9" fillId="0" borderId="16" xfId="1" applyNumberFormat="1" applyFont="1" applyBorder="1" applyAlignment="1">
      <alignment vertical="center"/>
    </xf>
    <xf numFmtId="0" fontId="10" fillId="0" borderId="9" xfId="1" applyFont="1" applyBorder="1" applyAlignment="1">
      <alignment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vertical="center" wrapText="1"/>
    </xf>
    <xf numFmtId="166" fontId="10" fillId="0" borderId="12" xfId="1" applyNumberFormat="1" applyFont="1" applyBorder="1" applyAlignment="1">
      <alignment vertical="center"/>
    </xf>
    <xf numFmtId="165" fontId="10" fillId="0" borderId="16" xfId="1" applyNumberFormat="1" applyFont="1" applyBorder="1" applyAlignment="1">
      <alignment vertical="center"/>
    </xf>
    <xf numFmtId="0" fontId="9" fillId="0" borderId="25" xfId="1" applyFont="1" applyBorder="1" applyAlignment="1">
      <alignment vertical="center" wrapText="1"/>
    </xf>
    <xf numFmtId="3" fontId="9" fillId="0" borderId="26" xfId="1" applyNumberFormat="1" applyFont="1" applyBorder="1" applyAlignment="1">
      <alignment horizontal="center" vertical="center"/>
    </xf>
    <xf numFmtId="0" fontId="9" fillId="0" borderId="27" xfId="1" applyNumberFormat="1" applyFont="1" applyBorder="1" applyAlignment="1">
      <alignment vertical="center"/>
    </xf>
    <xf numFmtId="0" fontId="9" fillId="0" borderId="27" xfId="1" applyFont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166" fontId="9" fillId="0" borderId="27" xfId="1" applyNumberFormat="1" applyFont="1" applyFill="1" applyBorder="1" applyAlignment="1">
      <alignment horizontal="center" vertical="center"/>
    </xf>
    <xf numFmtId="166" fontId="9" fillId="0" borderId="28" xfId="1" applyNumberFormat="1" applyFont="1" applyBorder="1" applyAlignment="1">
      <alignment vertical="center"/>
    </xf>
    <xf numFmtId="4" fontId="9" fillId="0" borderId="29" xfId="1" applyNumberFormat="1" applyFont="1" applyBorder="1" applyAlignment="1">
      <alignment vertical="center"/>
    </xf>
    <xf numFmtId="49" fontId="9" fillId="0" borderId="9" xfId="1" applyNumberFormat="1" applyFont="1" applyBorder="1" applyAlignment="1">
      <alignment horizontal="left" vertical="center" indent="1"/>
    </xf>
    <xf numFmtId="3" fontId="11" fillId="0" borderId="26" xfId="1" applyNumberFormat="1" applyFont="1" applyBorder="1" applyAlignment="1">
      <alignment horizontal="center" vertical="center"/>
    </xf>
    <xf numFmtId="0" fontId="9" fillId="0" borderId="11" xfId="1" applyNumberFormat="1" applyFont="1" applyBorder="1" applyAlignment="1">
      <alignment horizontal="left" vertical="center"/>
    </xf>
    <xf numFmtId="49" fontId="9" fillId="0" borderId="11" xfId="1" applyNumberFormat="1" applyFont="1" applyBorder="1" applyAlignment="1">
      <alignment horizontal="center" vertical="center"/>
    </xf>
    <xf numFmtId="165" fontId="9" fillId="0" borderId="11" xfId="1" applyNumberFormat="1" applyFont="1" applyBorder="1" applyAlignment="1">
      <alignment horizontal="center" vertical="center"/>
    </xf>
    <xf numFmtId="167" fontId="9" fillId="0" borderId="12" xfId="1" applyNumberFormat="1" applyFont="1" applyBorder="1" applyAlignment="1">
      <alignment vertical="center"/>
    </xf>
    <xf numFmtId="4" fontId="9" fillId="0" borderId="16" xfId="1" applyNumberFormat="1" applyFont="1" applyBorder="1" applyAlignment="1">
      <alignment vertical="center"/>
    </xf>
    <xf numFmtId="3" fontId="9" fillId="0" borderId="10" xfId="1" applyNumberFormat="1" applyFont="1" applyBorder="1" applyAlignment="1">
      <alignment horizontal="center" vertical="center"/>
    </xf>
    <xf numFmtId="166" fontId="9" fillId="0" borderId="12" xfId="1" applyNumberFormat="1" applyFont="1" applyBorder="1" applyAlignment="1">
      <alignment vertical="center"/>
    </xf>
    <xf numFmtId="49" fontId="9" fillId="0" borderId="9" xfId="1" applyNumberFormat="1" applyFont="1" applyBorder="1" applyAlignment="1">
      <alignment horizontal="left" vertical="center"/>
    </xf>
    <xf numFmtId="49" fontId="9" fillId="0" borderId="11" xfId="1" applyNumberFormat="1" applyFont="1" applyFill="1" applyBorder="1" applyAlignment="1">
      <alignment horizontal="center" vertical="center"/>
    </xf>
    <xf numFmtId="0" fontId="9" fillId="0" borderId="11" xfId="1" applyNumberFormat="1" applyFont="1" applyFill="1" applyBorder="1" applyAlignment="1">
      <alignment horizontal="center" vertical="center"/>
    </xf>
    <xf numFmtId="0" fontId="10" fillId="2" borderId="30" xfId="1" applyFont="1" applyFill="1" applyBorder="1" applyAlignment="1">
      <alignment horizontal="center" vertical="center"/>
    </xf>
    <xf numFmtId="0" fontId="10" fillId="2" borderId="31" xfId="1" applyFont="1" applyFill="1" applyBorder="1" applyAlignment="1">
      <alignment horizontal="center" vertical="center"/>
    </xf>
    <xf numFmtId="0" fontId="10" fillId="2" borderId="32" xfId="1" applyFont="1" applyFill="1" applyBorder="1" applyAlignment="1">
      <alignment horizontal="center" vertical="center"/>
    </xf>
    <xf numFmtId="0" fontId="10" fillId="2" borderId="33" xfId="1" applyFont="1" applyFill="1" applyBorder="1" applyAlignment="1">
      <alignment horizontal="center" vertical="center"/>
    </xf>
    <xf numFmtId="165" fontId="10" fillId="2" borderId="32" xfId="1" applyNumberFormat="1" applyFont="1" applyFill="1" applyBorder="1" applyAlignment="1">
      <alignment horizontal="center" vertical="center"/>
    </xf>
    <xf numFmtId="166" fontId="10" fillId="2" borderId="33" xfId="1" applyNumberFormat="1" applyFont="1" applyFill="1" applyBorder="1" applyAlignment="1">
      <alignment vertical="center"/>
    </xf>
    <xf numFmtId="165" fontId="10" fillId="2" borderId="34" xfId="1" applyNumberFormat="1" applyFont="1" applyFill="1" applyBorder="1" applyAlignment="1">
      <alignment vertical="center"/>
    </xf>
    <xf numFmtId="0" fontId="12" fillId="0" borderId="0" xfId="2" applyFont="1" applyAlignment="1">
      <alignment vertical="center"/>
    </xf>
    <xf numFmtId="0" fontId="10" fillId="2" borderId="35" xfId="1" applyFont="1" applyFill="1" applyBorder="1" applyAlignment="1">
      <alignment horizontal="center" vertical="center"/>
    </xf>
    <xf numFmtId="0" fontId="12" fillId="2" borderId="36" xfId="1" applyFont="1" applyFill="1" applyBorder="1" applyAlignment="1">
      <alignment vertical="center"/>
    </xf>
    <xf numFmtId="0" fontId="12" fillId="2" borderId="37" xfId="1" applyFont="1" applyFill="1" applyBorder="1" applyAlignment="1">
      <alignment vertical="center"/>
    </xf>
    <xf numFmtId="168" fontId="10" fillId="2" borderId="37" xfId="1" applyNumberFormat="1" applyFont="1" applyFill="1" applyBorder="1" applyAlignment="1">
      <alignment vertical="center"/>
    </xf>
    <xf numFmtId="165" fontId="12" fillId="2" borderId="38" xfId="1" applyNumberFormat="1" applyFont="1" applyFill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168" fontId="13" fillId="0" borderId="0" xfId="1" applyNumberFormat="1" applyFont="1" applyBorder="1" applyAlignment="1">
      <alignment vertical="center"/>
    </xf>
    <xf numFmtId="169" fontId="13" fillId="0" borderId="0" xfId="1" applyNumberFormat="1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66" fontId="14" fillId="0" borderId="0" xfId="1" applyNumberFormat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166" fontId="7" fillId="0" borderId="0" xfId="1" applyNumberFormat="1" applyFont="1" applyAlignment="1">
      <alignment vertical="center"/>
    </xf>
    <xf numFmtId="165" fontId="9" fillId="0" borderId="27" xfId="1" applyNumberFormat="1" applyFont="1" applyFill="1" applyBorder="1" applyAlignment="1">
      <alignment horizontal="center" vertical="center"/>
    </xf>
    <xf numFmtId="4" fontId="9" fillId="0" borderId="11" xfId="1" applyNumberFormat="1" applyFont="1" applyFill="1" applyBorder="1" applyAlignment="1">
      <alignment horizontal="right" vertical="center"/>
    </xf>
    <xf numFmtId="4" fontId="9" fillId="0" borderId="12" xfId="1" applyNumberFormat="1" applyFont="1" applyBorder="1" applyAlignment="1">
      <alignment horizontal="right" vertical="center"/>
    </xf>
    <xf numFmtId="4" fontId="9" fillId="0" borderId="16" xfId="1" applyNumberFormat="1" applyFont="1" applyBorder="1" applyAlignment="1">
      <alignment horizontal="right" vertical="center"/>
    </xf>
    <xf numFmtId="0" fontId="30" fillId="3" borderId="0" xfId="1" applyFont="1" applyFill="1" applyAlignment="1">
      <alignment horizontal="center" vertical="center"/>
    </xf>
    <xf numFmtId="0" fontId="8" fillId="3" borderId="0" xfId="62" applyFont="1" applyFill="1" applyAlignment="1">
      <alignment vertical="center"/>
    </xf>
    <xf numFmtId="0" fontId="8" fillId="3" borderId="0" xfId="1" applyFont="1" applyFill="1" applyAlignment="1">
      <alignment vertical="center"/>
    </xf>
    <xf numFmtId="165" fontId="8" fillId="3" borderId="0" xfId="31" applyNumberFormat="1" applyFont="1" applyFill="1" applyAlignment="1">
      <alignment vertical="center"/>
    </xf>
    <xf numFmtId="0" fontId="31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166" fontId="8" fillId="3" borderId="0" xfId="31" applyNumberFormat="1" applyFont="1" applyFill="1" applyAlignment="1">
      <alignment vertical="center"/>
    </xf>
    <xf numFmtId="174" fontId="8" fillId="3" borderId="0" xfId="62" applyNumberFormat="1" applyFont="1" applyFill="1" applyAlignment="1">
      <alignment vertical="center"/>
    </xf>
    <xf numFmtId="165" fontId="7" fillId="3" borderId="0" xfId="31" applyNumberFormat="1" applyFont="1" applyFill="1" applyAlignment="1">
      <alignment vertical="center"/>
    </xf>
    <xf numFmtId="166" fontId="7" fillId="3" borderId="0" xfId="31" applyNumberFormat="1" applyFont="1" applyFill="1" applyAlignment="1">
      <alignment horizontal="center" vertical="center"/>
    </xf>
    <xf numFmtId="164" fontId="31" fillId="3" borderId="0" xfId="1" applyNumberFormat="1" applyFont="1" applyFill="1" applyAlignment="1">
      <alignment horizontal="center" vertical="center"/>
    </xf>
    <xf numFmtId="0" fontId="32" fillId="3" borderId="1" xfId="1" applyFont="1" applyFill="1" applyBorder="1" applyAlignment="1">
      <alignment horizontal="center" vertical="center" wrapText="1"/>
    </xf>
    <xf numFmtId="0" fontId="32" fillId="3" borderId="2" xfId="1" applyFont="1" applyFill="1" applyBorder="1" applyAlignment="1">
      <alignment horizontal="center" vertical="center" wrapText="1"/>
    </xf>
    <xf numFmtId="0" fontId="32" fillId="3" borderId="3" xfId="1" applyFont="1" applyFill="1" applyBorder="1" applyAlignment="1">
      <alignment horizontal="center" vertical="center" wrapText="1"/>
    </xf>
    <xf numFmtId="0" fontId="32" fillId="3" borderId="4" xfId="1" applyFont="1" applyFill="1" applyBorder="1" applyAlignment="1">
      <alignment horizontal="center" vertical="center" wrapText="1"/>
    </xf>
    <xf numFmtId="0" fontId="32" fillId="3" borderId="5" xfId="1" applyFont="1" applyFill="1" applyBorder="1" applyAlignment="1">
      <alignment horizontal="center" vertical="center" wrapText="1"/>
    </xf>
    <xf numFmtId="0" fontId="32" fillId="3" borderId="6" xfId="1" applyFont="1" applyFill="1" applyBorder="1" applyAlignment="1">
      <alignment horizontal="center" vertical="center" wrapText="1"/>
    </xf>
    <xf numFmtId="0" fontId="32" fillId="3" borderId="7" xfId="1" applyFont="1" applyFill="1" applyBorder="1" applyAlignment="1">
      <alignment horizontal="center" vertical="center" wrapText="1"/>
    </xf>
    <xf numFmtId="0" fontId="32" fillId="3" borderId="3" xfId="1" applyFont="1" applyFill="1" applyBorder="1" applyAlignment="1">
      <alignment horizontal="center" vertical="center" wrapText="1"/>
    </xf>
    <xf numFmtId="165" fontId="32" fillId="3" borderId="8" xfId="31" applyNumberFormat="1" applyFont="1" applyFill="1" applyBorder="1" applyAlignment="1">
      <alignment horizontal="center" vertical="center"/>
    </xf>
    <xf numFmtId="0" fontId="32" fillId="3" borderId="9" xfId="1" applyFont="1" applyFill="1" applyBorder="1" applyAlignment="1">
      <alignment horizontal="center" vertical="center" wrapText="1"/>
    </xf>
    <xf numFmtId="0" fontId="32" fillId="3" borderId="10" xfId="1" applyFont="1" applyFill="1" applyBorder="1" applyAlignment="1">
      <alignment horizontal="center" vertical="center" wrapText="1"/>
    </xf>
    <xf numFmtId="0" fontId="32" fillId="3" borderId="11" xfId="1" applyFont="1" applyFill="1" applyBorder="1" applyAlignment="1">
      <alignment horizontal="center" vertical="center" wrapText="1"/>
    </xf>
    <xf numFmtId="0" fontId="32" fillId="3" borderId="12" xfId="1" applyFont="1" applyFill="1" applyBorder="1" applyAlignment="1">
      <alignment horizontal="center" vertical="center" wrapText="1"/>
    </xf>
    <xf numFmtId="0" fontId="32" fillId="3" borderId="13" xfId="1" applyFont="1" applyFill="1" applyBorder="1" applyAlignment="1">
      <alignment horizontal="center" vertical="center" wrapText="1"/>
    </xf>
    <xf numFmtId="0" fontId="32" fillId="3" borderId="14" xfId="1" applyFont="1" applyFill="1" applyBorder="1" applyAlignment="1">
      <alignment horizontal="center" vertical="center" wrapText="1"/>
    </xf>
    <xf numFmtId="0" fontId="32" fillId="3" borderId="15" xfId="1" applyFont="1" applyFill="1" applyBorder="1" applyAlignment="1">
      <alignment horizontal="center" vertical="center" wrapText="1"/>
    </xf>
    <xf numFmtId="0" fontId="32" fillId="3" borderId="11" xfId="1" applyFont="1" applyFill="1" applyBorder="1" applyAlignment="1">
      <alignment horizontal="center" vertical="center" wrapText="1"/>
    </xf>
    <xf numFmtId="165" fontId="32" fillId="3" borderId="16" xfId="31" applyNumberFormat="1" applyFont="1" applyFill="1" applyBorder="1" applyAlignment="1">
      <alignment horizontal="center" vertical="center"/>
    </xf>
    <xf numFmtId="0" fontId="32" fillId="3" borderId="12" xfId="1" applyFont="1" applyFill="1" applyBorder="1" applyAlignment="1">
      <alignment horizontal="center" vertical="center" wrapText="1"/>
    </xf>
    <xf numFmtId="0" fontId="32" fillId="3" borderId="17" xfId="1" applyFont="1" applyFill="1" applyBorder="1" applyAlignment="1">
      <alignment horizontal="center" vertical="center" wrapText="1"/>
    </xf>
    <xf numFmtId="0" fontId="32" fillId="3" borderId="18" xfId="1" applyFont="1" applyFill="1" applyBorder="1" applyAlignment="1">
      <alignment horizontal="center" vertical="center" wrapText="1"/>
    </xf>
    <xf numFmtId="0" fontId="32" fillId="3" borderId="19" xfId="1" applyFont="1" applyFill="1" applyBorder="1" applyAlignment="1">
      <alignment horizontal="center" vertical="center" wrapText="1"/>
    </xf>
    <xf numFmtId="0" fontId="32" fillId="3" borderId="20" xfId="1" applyFont="1" applyFill="1" applyBorder="1" applyAlignment="1">
      <alignment horizontal="center" vertical="center" wrapText="1"/>
    </xf>
    <xf numFmtId="0" fontId="32" fillId="3" borderId="12" xfId="1" applyFont="1" applyFill="1" applyBorder="1" applyAlignment="1">
      <alignment horizontal="center" vertical="center"/>
    </xf>
    <xf numFmtId="0" fontId="36" fillId="3" borderId="21" xfId="1" quotePrefix="1" applyFont="1" applyFill="1" applyBorder="1" applyAlignment="1">
      <alignment horizontal="center" vertical="center"/>
    </xf>
    <xf numFmtId="0" fontId="36" fillId="3" borderId="13" xfId="1" quotePrefix="1" applyFont="1" applyFill="1" applyBorder="1" applyAlignment="1">
      <alignment horizontal="center" vertical="center"/>
    </xf>
    <xf numFmtId="0" fontId="36" fillId="3" borderId="15" xfId="1" quotePrefix="1" applyFont="1" applyFill="1" applyBorder="1" applyAlignment="1">
      <alignment horizontal="center" vertical="center"/>
    </xf>
    <xf numFmtId="0" fontId="36" fillId="3" borderId="15" xfId="1" quotePrefix="1" applyFont="1" applyFill="1" applyBorder="1" applyAlignment="1">
      <alignment horizontal="center" vertical="center"/>
    </xf>
    <xf numFmtId="0" fontId="36" fillId="3" borderId="22" xfId="1" quotePrefix="1" applyFont="1" applyFill="1" applyBorder="1" applyAlignment="1">
      <alignment horizontal="center" vertical="center"/>
    </xf>
    <xf numFmtId="0" fontId="37" fillId="3" borderId="0" xfId="62" applyFont="1" applyFill="1" applyAlignment="1">
      <alignment vertical="center"/>
    </xf>
    <xf numFmtId="0" fontId="35" fillId="3" borderId="39" xfId="1" applyFont="1" applyFill="1" applyBorder="1" applyAlignment="1">
      <alignment vertical="center" wrapText="1"/>
    </xf>
    <xf numFmtId="0" fontId="35" fillId="3" borderId="13" xfId="1" applyFont="1" applyFill="1" applyBorder="1" applyAlignment="1">
      <alignment horizontal="center" vertical="center" wrapText="1"/>
    </xf>
    <xf numFmtId="0" fontId="35" fillId="3" borderId="15" xfId="1" applyFont="1" applyFill="1" applyBorder="1" applyAlignment="1">
      <alignment vertical="center" wrapText="1"/>
    </xf>
    <xf numFmtId="0" fontId="35" fillId="3" borderId="11" xfId="1" applyFont="1" applyFill="1" applyBorder="1" applyAlignment="1">
      <alignment vertical="center" wrapText="1"/>
    </xf>
    <xf numFmtId="166" fontId="35" fillId="3" borderId="12" xfId="1" applyNumberFormat="1" applyFont="1" applyFill="1" applyBorder="1" applyAlignment="1">
      <alignment vertical="center"/>
    </xf>
    <xf numFmtId="166" fontId="35" fillId="3" borderId="22" xfId="1" applyNumberFormat="1" applyFont="1" applyFill="1" applyBorder="1" applyAlignment="1">
      <alignment vertical="center"/>
    </xf>
    <xf numFmtId="165" fontId="35" fillId="3" borderId="23" xfId="31" applyNumberFormat="1" applyFont="1" applyFill="1" applyBorder="1" applyAlignment="1">
      <alignment vertical="center"/>
    </xf>
    <xf numFmtId="0" fontId="13" fillId="3" borderId="39" xfId="1" applyFont="1" applyFill="1" applyBorder="1" applyAlignment="1">
      <alignment vertical="center" wrapText="1"/>
    </xf>
    <xf numFmtId="0" fontId="13" fillId="3" borderId="10" xfId="1" applyFont="1" applyFill="1" applyBorder="1" applyAlignment="1">
      <alignment horizontal="center" vertical="center" wrapText="1"/>
    </xf>
    <xf numFmtId="0" fontId="13" fillId="3" borderId="11" xfId="1" applyNumberFormat="1" applyFont="1" applyFill="1" applyBorder="1" applyAlignment="1">
      <alignment vertical="center"/>
    </xf>
    <xf numFmtId="0" fontId="13" fillId="3" borderId="40" xfId="1" applyFont="1" applyFill="1" applyBorder="1" applyAlignment="1">
      <alignment horizontal="center" vertical="center"/>
    </xf>
    <xf numFmtId="175" fontId="13" fillId="3" borderId="40" xfId="1" applyNumberFormat="1" applyFont="1" applyFill="1" applyBorder="1" applyAlignment="1">
      <alignment horizontal="center" vertical="center"/>
    </xf>
    <xf numFmtId="166" fontId="13" fillId="3" borderId="40" xfId="1" applyNumberFormat="1" applyFont="1" applyFill="1" applyBorder="1" applyAlignment="1">
      <alignment horizontal="center" vertical="center"/>
    </xf>
    <xf numFmtId="166" fontId="13" fillId="3" borderId="40" xfId="31" applyNumberFormat="1" applyFont="1" applyFill="1" applyBorder="1" applyAlignment="1">
      <alignment vertical="center"/>
    </xf>
    <xf numFmtId="165" fontId="13" fillId="3" borderId="41" xfId="31" applyNumberFormat="1" applyFont="1" applyFill="1" applyBorder="1" applyAlignment="1">
      <alignment vertical="center"/>
    </xf>
    <xf numFmtId="49" fontId="13" fillId="3" borderId="9" xfId="1" applyNumberFormat="1" applyFont="1" applyFill="1" applyBorder="1" applyAlignment="1">
      <alignment horizontal="left" vertical="center" indent="2"/>
    </xf>
    <xf numFmtId="0" fontId="35" fillId="3" borderId="10" xfId="1" applyFont="1" applyFill="1" applyBorder="1" applyAlignment="1">
      <alignment horizontal="center" vertical="center" wrapText="1"/>
    </xf>
    <xf numFmtId="176" fontId="13" fillId="3" borderId="12" xfId="1" applyNumberFormat="1" applyFont="1" applyFill="1" applyBorder="1" applyAlignment="1">
      <alignment horizontal="center" vertical="center"/>
    </xf>
    <xf numFmtId="167" fontId="13" fillId="3" borderId="12" xfId="1" applyNumberFormat="1" applyFont="1" applyFill="1" applyBorder="1" applyAlignment="1">
      <alignment vertical="center"/>
    </xf>
    <xf numFmtId="165" fontId="35" fillId="3" borderId="16" xfId="31" applyNumberFormat="1" applyFont="1" applyFill="1" applyBorder="1" applyAlignment="1">
      <alignment vertical="center"/>
    </xf>
    <xf numFmtId="166" fontId="13" fillId="3" borderId="12" xfId="1" applyNumberFormat="1" applyFont="1" applyFill="1" applyBorder="1" applyAlignment="1">
      <alignment vertical="center"/>
    </xf>
    <xf numFmtId="176" fontId="8" fillId="3" borderId="0" xfId="62" applyNumberFormat="1" applyFont="1" applyFill="1" applyAlignment="1">
      <alignment vertical="center"/>
    </xf>
    <xf numFmtId="0" fontId="13" fillId="3" borderId="25" xfId="1" applyFont="1" applyFill="1" applyBorder="1" applyAlignment="1">
      <alignment vertical="center" wrapText="1"/>
    </xf>
    <xf numFmtId="0" fontId="13" fillId="3" borderId="26" xfId="1" applyNumberFormat="1" applyFont="1" applyFill="1" applyBorder="1" applyAlignment="1">
      <alignment horizontal="center" vertical="center"/>
    </xf>
    <xf numFmtId="0" fontId="13" fillId="3" borderId="42" xfId="1" applyNumberFormat="1" applyFont="1" applyFill="1" applyBorder="1" applyAlignment="1">
      <alignment vertical="center"/>
    </xf>
    <xf numFmtId="167" fontId="13" fillId="3" borderId="40" xfId="31" applyNumberFormat="1" applyFont="1" applyFill="1" applyBorder="1" applyAlignment="1">
      <alignment vertical="center"/>
    </xf>
    <xf numFmtId="166" fontId="13" fillId="3" borderId="40" xfId="1" applyNumberFormat="1" applyFont="1" applyFill="1" applyBorder="1" applyAlignment="1">
      <alignment vertical="center"/>
    </xf>
    <xf numFmtId="166" fontId="8" fillId="3" borderId="0" xfId="62" applyNumberFormat="1" applyFont="1" applyFill="1" applyAlignment="1">
      <alignment vertical="center"/>
    </xf>
    <xf numFmtId="0" fontId="13" fillId="3" borderId="10" xfId="1" applyNumberFormat="1" applyFont="1" applyFill="1" applyBorder="1" applyAlignment="1">
      <alignment horizontal="center" vertical="center"/>
    </xf>
    <xf numFmtId="0" fontId="13" fillId="3" borderId="11" xfId="1" applyNumberFormat="1" applyFont="1" applyFill="1" applyBorder="1" applyAlignment="1">
      <alignment horizontal="left" vertical="center"/>
    </xf>
    <xf numFmtId="49" fontId="13" fillId="3" borderId="12" xfId="1" applyNumberFormat="1" applyFont="1" applyFill="1" applyBorder="1" applyAlignment="1">
      <alignment horizontal="center" vertical="center"/>
    </xf>
    <xf numFmtId="165" fontId="13" fillId="3" borderId="16" xfId="31" applyNumberFormat="1" applyFont="1" applyFill="1" applyBorder="1" applyAlignment="1">
      <alignment vertical="center"/>
    </xf>
    <xf numFmtId="49" fontId="13" fillId="3" borderId="17" xfId="1" applyNumberFormat="1" applyFont="1" applyFill="1" applyBorder="1" applyAlignment="1">
      <alignment horizontal="left" vertical="center"/>
    </xf>
    <xf numFmtId="0" fontId="13" fillId="3" borderId="18" xfId="1" applyNumberFormat="1" applyFont="1" applyFill="1" applyBorder="1" applyAlignment="1">
      <alignment horizontal="center" vertical="center"/>
    </xf>
    <xf numFmtId="0" fontId="13" fillId="3" borderId="19" xfId="1" applyNumberFormat="1" applyFont="1" applyFill="1" applyBorder="1" applyAlignment="1">
      <alignment horizontal="left" vertical="center"/>
    </xf>
    <xf numFmtId="49" fontId="13" fillId="3" borderId="20" xfId="1" applyNumberFormat="1" applyFont="1" applyFill="1" applyBorder="1" applyAlignment="1">
      <alignment horizontal="center" vertical="center"/>
    </xf>
    <xf numFmtId="176" fontId="13" fillId="3" borderId="20" xfId="1" applyNumberFormat="1" applyFont="1" applyFill="1" applyBorder="1" applyAlignment="1">
      <alignment horizontal="center" vertical="center"/>
    </xf>
    <xf numFmtId="166" fontId="13" fillId="3" borderId="20" xfId="1" applyNumberFormat="1" applyFont="1" applyFill="1" applyBorder="1" applyAlignment="1">
      <alignment vertical="center"/>
    </xf>
    <xf numFmtId="165" fontId="13" fillId="3" borderId="43" xfId="31" applyNumberFormat="1" applyFont="1" applyFill="1" applyBorder="1" applyAlignment="1">
      <alignment vertical="center"/>
    </xf>
    <xf numFmtId="0" fontId="13" fillId="3" borderId="44" xfId="1" applyFont="1" applyFill="1" applyBorder="1" applyAlignment="1">
      <alignment vertical="center" wrapText="1"/>
    </xf>
    <xf numFmtId="0" fontId="13" fillId="3" borderId="27" xfId="1" applyNumberFormat="1" applyFont="1" applyFill="1" applyBorder="1" applyAlignment="1">
      <alignment vertical="center"/>
    </xf>
    <xf numFmtId="0" fontId="13" fillId="3" borderId="27" xfId="1" applyFont="1" applyFill="1" applyBorder="1" applyAlignment="1">
      <alignment horizontal="center" vertical="center"/>
    </xf>
    <xf numFmtId="166" fontId="13" fillId="3" borderId="27" xfId="1" applyNumberFormat="1" applyFont="1" applyFill="1" applyBorder="1" applyAlignment="1">
      <alignment horizontal="center" vertical="center"/>
    </xf>
    <xf numFmtId="166" fontId="13" fillId="3" borderId="42" xfId="1" applyNumberFormat="1" applyFont="1" applyFill="1" applyBorder="1" applyAlignment="1">
      <alignment horizontal="center" vertical="center"/>
    </xf>
    <xf numFmtId="3" fontId="13" fillId="3" borderId="40" xfId="31" applyNumberFormat="1" applyFont="1" applyFill="1" applyBorder="1" applyAlignment="1">
      <alignment vertical="center"/>
    </xf>
    <xf numFmtId="166" fontId="13" fillId="3" borderId="28" xfId="1" applyNumberFormat="1" applyFont="1" applyFill="1" applyBorder="1" applyAlignment="1">
      <alignment vertical="center"/>
    </xf>
    <xf numFmtId="49" fontId="13" fillId="3" borderId="11" xfId="1" applyNumberFormat="1" applyFont="1" applyFill="1" applyBorder="1" applyAlignment="1">
      <alignment horizontal="center" vertical="center"/>
    </xf>
    <xf numFmtId="176" fontId="13" fillId="3" borderId="11" xfId="1" applyNumberFormat="1" applyFont="1" applyFill="1" applyBorder="1" applyAlignment="1">
      <alignment horizontal="center" vertical="center"/>
    </xf>
    <xf numFmtId="49" fontId="13" fillId="3" borderId="9" xfId="1" applyNumberFormat="1" applyFont="1" applyFill="1" applyBorder="1" applyAlignment="1">
      <alignment horizontal="left" vertical="center"/>
    </xf>
    <xf numFmtId="49" fontId="13" fillId="3" borderId="44" xfId="1" applyNumberFormat="1" applyFont="1" applyFill="1" applyBorder="1" applyAlignment="1">
      <alignment horizontal="left" vertical="center"/>
    </xf>
    <xf numFmtId="0" fontId="13" fillId="3" borderId="24" xfId="1" applyNumberFormat="1" applyFont="1" applyFill="1" applyBorder="1" applyAlignment="1">
      <alignment horizontal="center" vertical="center"/>
    </xf>
    <xf numFmtId="0" fontId="13" fillId="3" borderId="42" xfId="1" applyNumberFormat="1" applyFont="1" applyFill="1" applyBorder="1" applyAlignment="1">
      <alignment horizontal="left" vertical="center"/>
    </xf>
    <xf numFmtId="165" fontId="13" fillId="3" borderId="40" xfId="31" applyNumberFormat="1" applyFont="1" applyFill="1" applyBorder="1" applyAlignment="1">
      <alignment vertical="center"/>
    </xf>
    <xf numFmtId="49" fontId="13" fillId="3" borderId="39" xfId="1" applyNumberFormat="1" applyFont="1" applyFill="1" applyBorder="1" applyAlignment="1">
      <alignment horizontal="left" vertical="center"/>
    </xf>
    <xf numFmtId="49" fontId="13" fillId="3" borderId="44" xfId="1" applyNumberFormat="1" applyFont="1" applyFill="1" applyBorder="1" applyAlignment="1">
      <alignment horizontal="left" vertical="center" wrapText="1"/>
    </xf>
    <xf numFmtId="165" fontId="13" fillId="3" borderId="40" xfId="1" applyNumberFormat="1" applyFont="1" applyFill="1" applyBorder="1" applyAlignment="1">
      <alignment horizontal="center" vertical="center"/>
    </xf>
    <xf numFmtId="165" fontId="13" fillId="3" borderId="29" xfId="31" applyNumberFormat="1" applyFont="1" applyFill="1" applyBorder="1" applyAlignment="1">
      <alignment vertical="center"/>
    </xf>
    <xf numFmtId="49" fontId="13" fillId="3" borderId="19" xfId="1" applyNumberFormat="1" applyFont="1" applyFill="1" applyBorder="1" applyAlignment="1">
      <alignment horizontal="center" vertical="center"/>
    </xf>
    <xf numFmtId="176" fontId="13" fillId="3" borderId="19" xfId="1" applyNumberFormat="1" applyFont="1" applyFill="1" applyBorder="1" applyAlignment="1">
      <alignment horizontal="center" vertical="center"/>
    </xf>
    <xf numFmtId="165" fontId="13" fillId="3" borderId="11" xfId="1" applyNumberFormat="1" applyFont="1" applyFill="1" applyBorder="1" applyAlignment="1">
      <alignment horizontal="center" vertical="center"/>
    </xf>
    <xf numFmtId="0" fontId="13" fillId="3" borderId="42" xfId="1" applyFont="1" applyFill="1" applyBorder="1" applyAlignment="1">
      <alignment horizontal="center" vertical="center"/>
    </xf>
    <xf numFmtId="2" fontId="13" fillId="3" borderId="42" xfId="1" applyNumberFormat="1" applyFont="1" applyFill="1" applyBorder="1" applyAlignment="1">
      <alignment horizontal="center" vertical="center"/>
    </xf>
    <xf numFmtId="49" fontId="13" fillId="3" borderId="10" xfId="1" applyNumberFormat="1" applyFont="1" applyFill="1" applyBorder="1" applyAlignment="1">
      <alignment horizontal="center" vertical="center"/>
    </xf>
    <xf numFmtId="49" fontId="13" fillId="3" borderId="11" xfId="1" applyNumberFormat="1" applyFont="1" applyFill="1" applyBorder="1" applyAlignment="1">
      <alignment horizontal="left" vertical="center"/>
    </xf>
    <xf numFmtId="165" fontId="13" fillId="3" borderId="27" xfId="1" applyNumberFormat="1" applyFont="1" applyFill="1" applyBorder="1" applyAlignment="1">
      <alignment horizontal="center" vertical="center"/>
    </xf>
    <xf numFmtId="176" fontId="13" fillId="4" borderId="11" xfId="1" applyNumberFormat="1" applyFont="1" applyFill="1" applyBorder="1" applyAlignment="1">
      <alignment horizontal="center" vertical="center"/>
    </xf>
    <xf numFmtId="49" fontId="13" fillId="3" borderId="39" xfId="1" applyNumberFormat="1" applyFont="1" applyFill="1" applyBorder="1" applyAlignment="1">
      <alignment horizontal="left" vertical="center" indent="2"/>
    </xf>
    <xf numFmtId="49" fontId="13" fillId="3" borderId="17" xfId="1" quotePrefix="1" applyNumberFormat="1" applyFont="1" applyFill="1" applyBorder="1" applyAlignment="1">
      <alignment horizontal="left" vertical="center"/>
    </xf>
    <xf numFmtId="49" fontId="13" fillId="3" borderId="18" xfId="1" applyNumberFormat="1" applyFont="1" applyFill="1" applyBorder="1" applyAlignment="1">
      <alignment horizontal="center" vertical="center"/>
    </xf>
    <xf numFmtId="49" fontId="13" fillId="3" borderId="19" xfId="1" applyNumberFormat="1" applyFont="1" applyFill="1" applyBorder="1" applyAlignment="1">
      <alignment horizontal="left" vertical="center"/>
    </xf>
    <xf numFmtId="165" fontId="13" fillId="3" borderId="19" xfId="1" applyNumberFormat="1" applyFont="1" applyFill="1" applyBorder="1" applyAlignment="1">
      <alignment horizontal="center" vertical="center"/>
    </xf>
    <xf numFmtId="0" fontId="13" fillId="3" borderId="30" xfId="1" applyFont="1" applyFill="1" applyBorder="1" applyAlignment="1">
      <alignment horizontal="center" vertical="center"/>
    </xf>
    <xf numFmtId="0" fontId="13" fillId="3" borderId="31" xfId="1" applyFont="1" applyFill="1" applyBorder="1" applyAlignment="1">
      <alignment horizontal="center" vertical="center"/>
    </xf>
    <xf numFmtId="0" fontId="13" fillId="3" borderId="32" xfId="1" applyFont="1" applyFill="1" applyBorder="1" applyAlignment="1">
      <alignment horizontal="center" vertical="center"/>
    </xf>
    <xf numFmtId="0" fontId="13" fillId="3" borderId="45" xfId="1" applyFont="1" applyFill="1" applyBorder="1" applyAlignment="1">
      <alignment horizontal="center" vertical="center"/>
    </xf>
    <xf numFmtId="165" fontId="13" fillId="3" borderId="45" xfId="1" applyNumberFormat="1" applyFont="1" applyFill="1" applyBorder="1" applyAlignment="1">
      <alignment horizontal="center" vertical="center"/>
    </xf>
    <xf numFmtId="166" fontId="13" fillId="3" borderId="46" xfId="1" applyNumberFormat="1" applyFont="1" applyFill="1" applyBorder="1" applyAlignment="1">
      <alignment vertical="center"/>
    </xf>
    <xf numFmtId="165" fontId="13" fillId="3" borderId="47" xfId="31" applyNumberFormat="1" applyFont="1" applyFill="1" applyBorder="1" applyAlignment="1">
      <alignment vertical="center"/>
    </xf>
    <xf numFmtId="0" fontId="13" fillId="3" borderId="35" xfId="1" applyFont="1" applyFill="1" applyBorder="1" applyAlignment="1">
      <alignment horizontal="center" vertical="center"/>
    </xf>
    <xf numFmtId="0" fontId="7" fillId="3" borderId="36" xfId="1" applyFont="1" applyFill="1" applyBorder="1" applyAlignment="1">
      <alignment vertical="center"/>
    </xf>
    <xf numFmtId="0" fontId="7" fillId="3" borderId="37" xfId="1" applyFont="1" applyFill="1" applyBorder="1" applyAlignment="1">
      <alignment vertical="center"/>
    </xf>
    <xf numFmtId="168" fontId="13" fillId="3" borderId="37" xfId="1" applyNumberFormat="1" applyFont="1" applyFill="1" applyBorder="1" applyAlignment="1">
      <alignment vertical="center"/>
    </xf>
    <xf numFmtId="169" fontId="13" fillId="3" borderId="37" xfId="1" applyNumberFormat="1" applyFont="1" applyFill="1" applyBorder="1" applyAlignment="1">
      <alignment vertical="center"/>
    </xf>
    <xf numFmtId="166" fontId="38" fillId="3" borderId="37" xfId="1" applyNumberFormat="1" applyFont="1" applyFill="1" applyBorder="1" applyAlignment="1">
      <alignment vertical="center"/>
    </xf>
    <xf numFmtId="165" fontId="7" fillId="3" borderId="38" xfId="31" applyNumberFormat="1" applyFont="1" applyFill="1" applyBorder="1" applyAlignment="1">
      <alignment vertical="center"/>
    </xf>
    <xf numFmtId="0" fontId="13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vertical="center"/>
    </xf>
    <xf numFmtId="168" fontId="13" fillId="3" borderId="0" xfId="1" applyNumberFormat="1" applyFont="1" applyFill="1" applyBorder="1" applyAlignment="1">
      <alignment vertical="center"/>
    </xf>
    <xf numFmtId="169" fontId="13" fillId="3" borderId="0" xfId="1" applyNumberFormat="1" applyFont="1" applyFill="1" applyBorder="1" applyAlignment="1">
      <alignment vertical="center"/>
    </xf>
    <xf numFmtId="167" fontId="7" fillId="3" borderId="0" xfId="125" applyFont="1" applyFill="1" applyBorder="1" applyAlignment="1">
      <alignment vertical="center"/>
    </xf>
    <xf numFmtId="165" fontId="7" fillId="3" borderId="0" xfId="31" applyNumberFormat="1" applyFont="1" applyFill="1" applyBorder="1" applyAlignment="1">
      <alignment vertical="center"/>
    </xf>
    <xf numFmtId="167" fontId="8" fillId="3" borderId="0" xfId="62" applyNumberFormat="1" applyFont="1" applyFill="1" applyAlignment="1">
      <alignment vertical="center"/>
    </xf>
    <xf numFmtId="0" fontId="31" fillId="3" borderId="0" xfId="1" applyFont="1" applyFill="1" applyAlignment="1">
      <alignment horizontal="center" vertical="center"/>
    </xf>
    <xf numFmtId="0" fontId="31" fillId="3" borderId="0" xfId="1" applyFont="1" applyFill="1" applyAlignment="1">
      <alignment horizontal="center" vertical="center"/>
    </xf>
    <xf numFmtId="165" fontId="31" fillId="3" borderId="0" xfId="31" applyNumberFormat="1" applyFont="1" applyFill="1" applyAlignment="1">
      <alignment horizontal="center" vertical="center"/>
    </xf>
    <xf numFmtId="0" fontId="39" fillId="3" borderId="0" xfId="109" applyFont="1" applyFill="1" applyBorder="1" applyAlignment="1">
      <alignment horizontal="center" vertical="center"/>
    </xf>
    <xf numFmtId="0" fontId="39" fillId="3" borderId="0" xfId="109" applyFont="1" applyFill="1" applyBorder="1" applyAlignment="1">
      <alignment vertical="center"/>
    </xf>
    <xf numFmtId="0" fontId="39" fillId="3" borderId="0" xfId="109" applyFont="1" applyFill="1" applyBorder="1" applyAlignment="1">
      <alignment horizontal="center"/>
    </xf>
    <xf numFmtId="0" fontId="39" fillId="3" borderId="0" xfId="109" applyFont="1" applyFill="1" applyBorder="1"/>
    <xf numFmtId="0" fontId="31" fillId="0" borderId="0" xfId="1" applyFont="1" applyAlignment="1">
      <alignment horizontal="center" vertical="center"/>
    </xf>
    <xf numFmtId="0" fontId="31" fillId="0" borderId="0" xfId="1" applyFont="1" applyAlignment="1">
      <alignment vertical="center"/>
    </xf>
    <xf numFmtId="0" fontId="40" fillId="3" borderId="0" xfId="1" applyFont="1" applyFill="1" applyAlignment="1">
      <alignment horizontal="center" vertical="center"/>
    </xf>
    <xf numFmtId="0" fontId="40" fillId="3" borderId="0" xfId="1" applyFont="1" applyFill="1" applyAlignment="1">
      <alignment horizontal="center" vertical="center"/>
    </xf>
    <xf numFmtId="0" fontId="41" fillId="3" borderId="0" xfId="109" applyFont="1" applyFill="1" applyBorder="1" applyAlignment="1">
      <alignment horizontal="center"/>
    </xf>
    <xf numFmtId="0" fontId="40" fillId="0" borderId="0" xfId="1" applyFont="1" applyAlignment="1">
      <alignment horizontal="center" vertical="center"/>
    </xf>
    <xf numFmtId="0" fontId="14" fillId="3" borderId="0" xfId="0" applyFont="1" applyFill="1"/>
    <xf numFmtId="0" fontId="8" fillId="3" borderId="0" xfId="0" applyFont="1" applyFill="1"/>
    <xf numFmtId="0" fontId="5" fillId="0" borderId="0" xfId="39" applyFont="1" applyAlignment="1">
      <alignment vertical="center"/>
    </xf>
    <xf numFmtId="0" fontId="6" fillId="0" borderId="0" xfId="39" applyFont="1" applyAlignment="1">
      <alignment vertical="center"/>
    </xf>
    <xf numFmtId="0" fontId="8" fillId="0" borderId="0" xfId="39" applyFont="1" applyAlignment="1">
      <alignment vertical="center"/>
    </xf>
    <xf numFmtId="0" fontId="9" fillId="0" borderId="0" xfId="39" applyFont="1" applyAlignment="1">
      <alignment vertical="center"/>
    </xf>
    <xf numFmtId="0" fontId="9" fillId="0" borderId="9" xfId="1" applyFont="1" applyBorder="1" applyAlignment="1">
      <alignment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vertical="center" wrapText="1"/>
    </xf>
    <xf numFmtId="0" fontId="9" fillId="0" borderId="11" xfId="1" applyFont="1" applyFill="1" applyBorder="1" applyAlignment="1">
      <alignment horizontal="center" vertical="center"/>
    </xf>
    <xf numFmtId="166" fontId="9" fillId="0" borderId="11" xfId="1" applyNumberFormat="1" applyFont="1" applyFill="1" applyBorder="1" applyAlignment="1">
      <alignment horizontal="center" vertical="center"/>
    </xf>
    <xf numFmtId="3" fontId="9" fillId="0" borderId="24" xfId="1" applyNumberFormat="1" applyFont="1" applyBorder="1" applyAlignment="1">
      <alignment horizontal="center" vertical="center"/>
    </xf>
    <xf numFmtId="0" fontId="9" fillId="0" borderId="42" xfId="1" applyNumberFormat="1" applyFont="1" applyBorder="1" applyAlignment="1">
      <alignment vertical="center"/>
    </xf>
    <xf numFmtId="0" fontId="9" fillId="0" borderId="42" xfId="1" applyFont="1" applyBorder="1" applyAlignment="1">
      <alignment horizontal="center" vertical="center"/>
    </xf>
    <xf numFmtId="0" fontId="9" fillId="0" borderId="42" xfId="1" applyFont="1" applyFill="1" applyBorder="1" applyAlignment="1">
      <alignment horizontal="center" vertical="center"/>
    </xf>
    <xf numFmtId="166" fontId="9" fillId="0" borderId="42" xfId="1" applyNumberFormat="1" applyFont="1" applyFill="1" applyBorder="1" applyAlignment="1">
      <alignment horizontal="center" vertical="center"/>
    </xf>
    <xf numFmtId="166" fontId="9" fillId="0" borderId="40" xfId="1" applyNumberFormat="1" applyFont="1" applyBorder="1" applyAlignment="1">
      <alignment vertical="center"/>
    </xf>
    <xf numFmtId="4" fontId="9" fillId="0" borderId="41" xfId="1" applyNumberFormat="1" applyFont="1" applyBorder="1" applyAlignment="1">
      <alignment vertical="center"/>
    </xf>
    <xf numFmtId="3" fontId="11" fillId="0" borderId="10" xfId="1" applyNumberFormat="1" applyFont="1" applyBorder="1" applyAlignment="1">
      <alignment horizontal="center" vertical="center"/>
    </xf>
    <xf numFmtId="0" fontId="10" fillId="2" borderId="30" xfId="1" applyFont="1" applyFill="1" applyBorder="1" applyAlignment="1">
      <alignment horizontal="left" vertical="center" wrapText="1"/>
    </xf>
    <xf numFmtId="0" fontId="12" fillId="0" borderId="0" xfId="39" applyFont="1" applyAlignment="1">
      <alignment vertical="center"/>
    </xf>
    <xf numFmtId="0" fontId="10" fillId="2" borderId="35" xfId="1" applyFont="1" applyFill="1" applyBorder="1" applyAlignment="1">
      <alignment horizontal="left" vertical="center" wrapText="1"/>
    </xf>
    <xf numFmtId="166" fontId="6" fillId="0" borderId="0" xfId="39" applyNumberFormat="1" applyFont="1" applyAlignment="1">
      <alignment vertical="center"/>
    </xf>
    <xf numFmtId="3" fontId="11" fillId="0" borderId="48" xfId="1" applyNumberFormat="1" applyFont="1" applyBorder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8" fillId="0" borderId="0" xfId="40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0" fontId="42" fillId="0" borderId="0" xfId="109" applyFont="1" applyFill="1" applyBorder="1"/>
    <xf numFmtId="10" fontId="42" fillId="0" borderId="0" xfId="109" applyNumberFormat="1" applyFont="1" applyFill="1" applyBorder="1"/>
    <xf numFmtId="10" fontId="42" fillId="0" borderId="0" xfId="109" applyNumberFormat="1" applyFont="1"/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54" xfId="1" applyFont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2" borderId="21" xfId="1" quotePrefix="1" applyFont="1" applyFill="1" applyBorder="1" applyAlignment="1">
      <alignment horizontal="center" vertical="center"/>
    </xf>
    <xf numFmtId="0" fontId="7" fillId="2" borderId="13" xfId="1" quotePrefix="1" applyFont="1" applyFill="1" applyBorder="1" applyAlignment="1">
      <alignment horizontal="center" vertical="center"/>
    </xf>
    <xf numFmtId="0" fontId="7" fillId="2" borderId="15" xfId="1" quotePrefix="1" applyFont="1" applyFill="1" applyBorder="1" applyAlignment="1">
      <alignment horizontal="center" vertical="center"/>
    </xf>
    <xf numFmtId="0" fontId="7" fillId="2" borderId="15" xfId="1" quotePrefix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7" fillId="2" borderId="22" xfId="1" quotePrefix="1" applyFont="1" applyFill="1" applyBorder="1" applyAlignment="1">
      <alignment horizontal="center" vertical="center"/>
    </xf>
    <xf numFmtId="0" fontId="7" fillId="2" borderId="23" xfId="1" quotePrefix="1" applyFont="1" applyFill="1" applyBorder="1" applyAlignment="1">
      <alignment horizontal="center" vertical="center"/>
    </xf>
    <xf numFmtId="0" fontId="7" fillId="0" borderId="14" xfId="1" quotePrefix="1" applyFont="1" applyBorder="1" applyAlignment="1">
      <alignment horizontal="center" vertical="center"/>
    </xf>
    <xf numFmtId="0" fontId="7" fillId="0" borderId="15" xfId="1" quotePrefix="1" applyFont="1" applyBorder="1" applyAlignment="1">
      <alignment horizontal="center" vertical="center"/>
    </xf>
    <xf numFmtId="0" fontId="7" fillId="0" borderId="22" xfId="1" quotePrefix="1" applyFont="1" applyBorder="1" applyAlignment="1">
      <alignment horizontal="center" vertical="center"/>
    </xf>
    <xf numFmtId="0" fontId="7" fillId="0" borderId="55" xfId="1" quotePrefix="1" applyFont="1" applyBorder="1" applyAlignment="1">
      <alignment horizontal="center" vertical="center"/>
    </xf>
    <xf numFmtId="0" fontId="37" fillId="0" borderId="0" xfId="40" applyFont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24" xfId="1" applyFont="1" applyBorder="1" applyAlignment="1">
      <alignment horizontal="center" vertical="center"/>
    </xf>
    <xf numFmtId="0" fontId="7" fillId="0" borderId="11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165" fontId="7" fillId="0" borderId="16" xfId="1" applyNumberFormat="1" applyFont="1" applyBorder="1" applyAlignment="1">
      <alignment vertical="center"/>
    </xf>
    <xf numFmtId="0" fontId="7" fillId="0" borderId="54" xfId="1" applyFont="1" applyBorder="1" applyAlignment="1">
      <alignment vertical="center"/>
    </xf>
    <xf numFmtId="0" fontId="38" fillId="0" borderId="9" xfId="1" applyFont="1" applyBorder="1" applyAlignment="1">
      <alignment vertical="center" wrapText="1"/>
    </xf>
    <xf numFmtId="0" fontId="38" fillId="0" borderId="10" xfId="1" applyFont="1" applyBorder="1" applyAlignment="1">
      <alignment horizontal="center" vertical="center" wrapText="1"/>
    </xf>
    <xf numFmtId="0" fontId="38" fillId="0" borderId="11" xfId="1" applyFont="1" applyBorder="1" applyAlignment="1">
      <alignment vertical="center" wrapText="1"/>
    </xf>
    <xf numFmtId="166" fontId="38" fillId="0" borderId="20" xfId="1" applyNumberFormat="1" applyFont="1" applyBorder="1" applyAlignment="1">
      <alignment vertical="center"/>
    </xf>
    <xf numFmtId="166" fontId="38" fillId="0" borderId="12" xfId="1" applyNumberFormat="1" applyFont="1" applyBorder="1" applyAlignment="1">
      <alignment vertical="center"/>
    </xf>
    <xf numFmtId="165" fontId="38" fillId="0" borderId="16" xfId="1" applyNumberFormat="1" applyFont="1" applyBorder="1" applyAlignment="1">
      <alignment vertical="center"/>
    </xf>
    <xf numFmtId="176" fontId="38" fillId="0" borderId="0" xfId="1" applyNumberFormat="1" applyFont="1" applyBorder="1" applyAlignment="1">
      <alignment horizontal="center" vertical="center"/>
    </xf>
    <xf numFmtId="176" fontId="38" fillId="0" borderId="11" xfId="1" applyNumberFormat="1" applyFont="1" applyBorder="1" applyAlignment="1">
      <alignment vertical="center"/>
    </xf>
    <xf numFmtId="165" fontId="38" fillId="0" borderId="12" xfId="1" applyNumberFormat="1" applyFont="1" applyBorder="1" applyAlignment="1">
      <alignment vertical="center"/>
    </xf>
    <xf numFmtId="0" fontId="7" fillId="0" borderId="56" xfId="1" applyFont="1" applyBorder="1" applyAlignment="1">
      <alignment vertical="center" wrapText="1"/>
    </xf>
    <xf numFmtId="0" fontId="7" fillId="0" borderId="57" xfId="1" applyNumberFormat="1" applyFont="1" applyBorder="1" applyAlignment="1">
      <alignment horizontal="center" vertical="center"/>
    </xf>
    <xf numFmtId="0" fontId="7" fillId="0" borderId="58" xfId="1" applyNumberFormat="1" applyFont="1" applyBorder="1" applyAlignment="1">
      <alignment vertical="center"/>
    </xf>
    <xf numFmtId="0" fontId="7" fillId="0" borderId="58" xfId="1" applyFont="1" applyBorder="1" applyAlignment="1">
      <alignment horizontal="center" vertical="center"/>
    </xf>
    <xf numFmtId="177" fontId="7" fillId="0" borderId="58" xfId="1" applyNumberFormat="1" applyFont="1" applyFill="1" applyBorder="1" applyAlignment="1">
      <alignment horizontal="right" vertical="center"/>
    </xf>
    <xf numFmtId="177" fontId="7" fillId="0" borderId="58" xfId="1" applyNumberFormat="1" applyFont="1" applyFill="1" applyBorder="1" applyAlignment="1">
      <alignment horizontal="center" vertical="center"/>
    </xf>
    <xf numFmtId="3" fontId="7" fillId="0" borderId="0" xfId="109" applyNumberFormat="1" applyFont="1" applyFill="1" applyAlignment="1">
      <alignment vertical="center"/>
    </xf>
    <xf numFmtId="166" fontId="7" fillId="0" borderId="59" xfId="1" applyNumberFormat="1" applyFont="1" applyBorder="1" applyAlignment="1">
      <alignment vertical="center"/>
    </xf>
    <xf numFmtId="165" fontId="7" fillId="0" borderId="60" xfId="1" applyNumberFormat="1" applyFont="1" applyBorder="1" applyAlignment="1">
      <alignment vertical="center"/>
    </xf>
    <xf numFmtId="166" fontId="7" fillId="0" borderId="61" xfId="1" applyNumberFormat="1" applyFont="1" applyBorder="1" applyAlignment="1">
      <alignment horizontal="center" vertical="center"/>
    </xf>
    <xf numFmtId="166" fontId="7" fillId="0" borderId="27" xfId="1" applyNumberFormat="1" applyFont="1" applyBorder="1" applyAlignment="1">
      <alignment vertical="center"/>
    </xf>
    <xf numFmtId="165" fontId="7" fillId="0" borderId="28" xfId="1" applyNumberFormat="1" applyFont="1" applyBorder="1" applyAlignment="1">
      <alignment vertical="center"/>
    </xf>
    <xf numFmtId="166" fontId="7" fillId="0" borderId="28" xfId="1" applyNumberFormat="1" applyFont="1" applyBorder="1" applyAlignment="1">
      <alignment vertical="center"/>
    </xf>
    <xf numFmtId="0" fontId="7" fillId="0" borderId="62" xfId="1" applyFont="1" applyBorder="1" applyAlignment="1">
      <alignment horizontal="left" vertical="center" wrapText="1"/>
    </xf>
    <xf numFmtId="49" fontId="7" fillId="0" borderId="63" xfId="1" applyNumberFormat="1" applyFont="1" applyBorder="1" applyAlignment="1">
      <alignment horizontal="left" vertical="center" indent="2"/>
    </xf>
    <xf numFmtId="0" fontId="7" fillId="0" borderId="64" xfId="1" applyNumberFormat="1" applyFont="1" applyBorder="1" applyAlignment="1">
      <alignment horizontal="center" vertical="center"/>
    </xf>
    <xf numFmtId="0" fontId="7" fillId="0" borderId="65" xfId="1" applyNumberFormat="1" applyFont="1" applyBorder="1" applyAlignment="1">
      <alignment horizontal="left" vertical="center"/>
    </xf>
    <xf numFmtId="49" fontId="7" fillId="0" borderId="65" xfId="1" applyNumberFormat="1" applyFont="1" applyBorder="1" applyAlignment="1">
      <alignment horizontal="center" vertical="center"/>
    </xf>
    <xf numFmtId="165" fontId="7" fillId="0" borderId="65" xfId="1" applyNumberFormat="1" applyFont="1" applyFill="1" applyBorder="1" applyAlignment="1">
      <alignment horizontal="center" vertical="center"/>
    </xf>
    <xf numFmtId="176" fontId="7" fillId="0" borderId="65" xfId="1" applyNumberFormat="1" applyFont="1" applyFill="1" applyBorder="1" applyAlignment="1">
      <alignment horizontal="center" vertical="center"/>
    </xf>
    <xf numFmtId="167" fontId="7" fillId="0" borderId="66" xfId="1" applyNumberFormat="1" applyFont="1" applyBorder="1" applyAlignment="1">
      <alignment vertical="center"/>
    </xf>
    <xf numFmtId="165" fontId="7" fillId="0" borderId="67" xfId="1" applyNumberFormat="1" applyFont="1" applyBorder="1" applyAlignment="1">
      <alignment vertical="center"/>
    </xf>
    <xf numFmtId="166" fontId="7" fillId="0" borderId="0" xfId="1" applyNumberFormat="1" applyFont="1" applyBorder="1" applyAlignment="1">
      <alignment horizontal="center" vertical="center"/>
    </xf>
    <xf numFmtId="166" fontId="7" fillId="0" borderId="11" xfId="1" applyNumberFormat="1" applyFont="1" applyBorder="1" applyAlignment="1">
      <alignment vertical="center"/>
    </xf>
    <xf numFmtId="165" fontId="7" fillId="0" borderId="12" xfId="1" applyNumberFormat="1" applyFont="1" applyBorder="1" applyAlignment="1">
      <alignment vertical="center"/>
    </xf>
    <xf numFmtId="2" fontId="7" fillId="0" borderId="12" xfId="1" applyNumberFormat="1" applyFont="1" applyBorder="1" applyAlignment="1">
      <alignment vertical="center"/>
    </xf>
    <xf numFmtId="166" fontId="7" fillId="0" borderId="12" xfId="1" applyNumberFormat="1" applyFont="1" applyBorder="1" applyAlignment="1">
      <alignment vertical="center"/>
    </xf>
    <xf numFmtId="0" fontId="7" fillId="0" borderId="54" xfId="1" applyFont="1" applyBorder="1" applyAlignment="1">
      <alignment horizontal="left" vertical="center" wrapText="1"/>
    </xf>
    <xf numFmtId="166" fontId="7" fillId="0" borderId="66" xfId="1" applyNumberFormat="1" applyFont="1" applyBorder="1" applyAlignment="1">
      <alignment vertical="center"/>
    </xf>
    <xf numFmtId="165" fontId="7" fillId="0" borderId="10" xfId="1" applyNumberFormat="1" applyFont="1" applyBorder="1" applyAlignment="1">
      <alignment vertical="center"/>
    </xf>
    <xf numFmtId="49" fontId="7" fillId="0" borderId="68" xfId="1" applyNumberFormat="1" applyFont="1" applyBorder="1" applyAlignment="1">
      <alignment horizontal="left" vertical="center"/>
    </xf>
    <xf numFmtId="0" fontId="7" fillId="0" borderId="69" xfId="1" applyNumberFormat="1" applyFont="1" applyBorder="1" applyAlignment="1">
      <alignment horizontal="center" vertical="center"/>
    </xf>
    <xf numFmtId="0" fontId="7" fillId="0" borderId="70" xfId="1" applyNumberFormat="1" applyFont="1" applyBorder="1" applyAlignment="1">
      <alignment horizontal="left" vertical="center"/>
    </xf>
    <xf numFmtId="49" fontId="7" fillId="0" borderId="70" xfId="1" applyNumberFormat="1" applyFont="1" applyBorder="1" applyAlignment="1">
      <alignment horizontal="center" vertical="center"/>
    </xf>
    <xf numFmtId="165" fontId="7" fillId="0" borderId="70" xfId="1" applyNumberFormat="1" applyFont="1" applyFill="1" applyBorder="1" applyAlignment="1">
      <alignment horizontal="center" vertical="center"/>
    </xf>
    <xf numFmtId="166" fontId="7" fillId="0" borderId="71" xfId="1" applyNumberFormat="1" applyFont="1" applyBorder="1" applyAlignment="1">
      <alignment vertical="center"/>
    </xf>
    <xf numFmtId="165" fontId="7" fillId="0" borderId="72" xfId="1" applyNumberFormat="1" applyFont="1" applyBorder="1" applyAlignment="1">
      <alignment vertical="center"/>
    </xf>
    <xf numFmtId="0" fontId="7" fillId="0" borderId="18" xfId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/>
    </xf>
    <xf numFmtId="0" fontId="7" fillId="0" borderId="10" xfId="1" applyNumberFormat="1" applyFont="1" applyBorder="1" applyAlignment="1">
      <alignment horizontal="center" vertical="center"/>
    </xf>
    <xf numFmtId="0" fontId="7" fillId="0" borderId="11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center" vertical="center"/>
    </xf>
    <xf numFmtId="165" fontId="7" fillId="0" borderId="11" xfId="1" applyNumberFormat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left" vertical="center" wrapText="1"/>
    </xf>
    <xf numFmtId="3" fontId="7" fillId="0" borderId="59" xfId="109" applyNumberFormat="1" applyFont="1" applyFill="1" applyBorder="1" applyAlignment="1">
      <alignment vertical="center"/>
    </xf>
    <xf numFmtId="49" fontId="7" fillId="0" borderId="9" xfId="1" applyNumberFormat="1" applyFont="1" applyBorder="1" applyAlignment="1">
      <alignment horizontal="left" vertical="center" indent="2"/>
    </xf>
    <xf numFmtId="178" fontId="8" fillId="0" borderId="0" xfId="40" applyNumberFormat="1" applyFont="1" applyAlignment="1">
      <alignment vertical="center"/>
    </xf>
    <xf numFmtId="165" fontId="7" fillId="0" borderId="70" xfId="1" applyNumberFormat="1" applyFont="1" applyBorder="1" applyAlignment="1">
      <alignment horizontal="center" vertical="center"/>
    </xf>
    <xf numFmtId="49" fontId="7" fillId="0" borderId="17" xfId="1" quotePrefix="1" applyNumberFormat="1" applyFont="1" applyBorder="1" applyAlignment="1">
      <alignment horizontal="left" vertical="center"/>
    </xf>
    <xf numFmtId="49" fontId="7" fillId="0" borderId="18" xfId="1" applyNumberFormat="1" applyFont="1" applyBorder="1" applyAlignment="1">
      <alignment horizontal="center" vertical="center"/>
    </xf>
    <xf numFmtId="49" fontId="7" fillId="0" borderId="19" xfId="1" applyNumberFormat="1" applyFont="1" applyBorder="1" applyAlignment="1">
      <alignment horizontal="left" vertical="center"/>
    </xf>
    <xf numFmtId="49" fontId="7" fillId="0" borderId="19" xfId="1" applyNumberFormat="1" applyFont="1" applyBorder="1" applyAlignment="1">
      <alignment horizontal="center" vertical="center"/>
    </xf>
    <xf numFmtId="165" fontId="7" fillId="0" borderId="19" xfId="1" applyNumberFormat="1" applyFont="1" applyBorder="1" applyAlignment="1">
      <alignment horizontal="center" vertical="center"/>
    </xf>
    <xf numFmtId="166" fontId="7" fillId="0" borderId="20" xfId="1" applyNumberFormat="1" applyFont="1" applyBorder="1" applyAlignment="1">
      <alignment vertical="center"/>
    </xf>
    <xf numFmtId="165" fontId="7" fillId="0" borderId="43" xfId="1" applyNumberFormat="1" applyFont="1" applyBorder="1" applyAlignment="1">
      <alignment vertical="center"/>
    </xf>
    <xf numFmtId="166" fontId="7" fillId="0" borderId="73" xfId="1" applyNumberFormat="1" applyFont="1" applyBorder="1" applyAlignment="1">
      <alignment horizontal="center" vertical="center"/>
    </xf>
    <xf numFmtId="166" fontId="7" fillId="0" borderId="19" xfId="1" applyNumberFormat="1" applyFont="1" applyBorder="1" applyAlignment="1">
      <alignment vertical="center"/>
    </xf>
    <xf numFmtId="165" fontId="7" fillId="0" borderId="20" xfId="1" applyNumberFormat="1" applyFont="1" applyBorder="1" applyAlignment="1">
      <alignment vertical="center"/>
    </xf>
    <xf numFmtId="2" fontId="7" fillId="0" borderId="20" xfId="1" applyNumberFormat="1" applyFont="1" applyBorder="1" applyAlignment="1">
      <alignment vertical="center"/>
    </xf>
    <xf numFmtId="0" fontId="7" fillId="0" borderId="74" xfId="1" applyFont="1" applyBorder="1" applyAlignment="1">
      <alignment vertical="center" wrapText="1"/>
    </xf>
    <xf numFmtId="0" fontId="7" fillId="0" borderId="17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165" fontId="7" fillId="0" borderId="19" xfId="1" applyNumberFormat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7" fillId="2" borderId="30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2" borderId="45" xfId="1" applyFont="1" applyFill="1" applyBorder="1" applyAlignment="1">
      <alignment horizontal="center" vertical="center"/>
    </xf>
    <xf numFmtId="165" fontId="7" fillId="2" borderId="45" xfId="1" applyNumberFormat="1" applyFont="1" applyFill="1" applyBorder="1" applyAlignment="1">
      <alignment horizontal="center" vertical="center"/>
    </xf>
    <xf numFmtId="166" fontId="7" fillId="2" borderId="46" xfId="1" applyNumberFormat="1" applyFont="1" applyFill="1" applyBorder="1" applyAlignment="1">
      <alignment vertical="center"/>
    </xf>
    <xf numFmtId="165" fontId="7" fillId="2" borderId="47" xfId="1" applyNumberFormat="1" applyFont="1" applyFill="1" applyBorder="1" applyAlignment="1">
      <alignment vertical="center"/>
    </xf>
    <xf numFmtId="166" fontId="7" fillId="0" borderId="75" xfId="1" applyNumberFormat="1" applyFont="1" applyBorder="1" applyAlignment="1">
      <alignment horizontal="center" vertical="center"/>
    </xf>
    <xf numFmtId="166" fontId="7" fillId="0" borderId="32" xfId="1" applyNumberFormat="1" applyFont="1" applyBorder="1" applyAlignment="1">
      <alignment vertical="center"/>
    </xf>
    <xf numFmtId="165" fontId="7" fillId="0" borderId="33" xfId="1" applyNumberFormat="1" applyFont="1" applyBorder="1" applyAlignment="1">
      <alignment vertical="center"/>
    </xf>
    <xf numFmtId="166" fontId="7" fillId="0" borderId="33" xfId="1" applyNumberFormat="1" applyFont="1" applyBorder="1" applyAlignment="1">
      <alignment vertical="center"/>
    </xf>
    <xf numFmtId="39" fontId="7" fillId="0" borderId="33" xfId="1" applyNumberFormat="1" applyFont="1" applyBorder="1" applyAlignment="1">
      <alignment vertical="center"/>
    </xf>
    <xf numFmtId="0" fontId="7" fillId="0" borderId="76" xfId="1" applyFont="1" applyBorder="1" applyAlignment="1">
      <alignment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36" xfId="1" applyFont="1" applyFill="1" applyBorder="1" applyAlignment="1">
      <alignment vertical="center"/>
    </xf>
    <xf numFmtId="0" fontId="7" fillId="2" borderId="37" xfId="1" applyFont="1" applyFill="1" applyBorder="1" applyAlignment="1">
      <alignment vertical="center"/>
    </xf>
    <xf numFmtId="165" fontId="7" fillId="2" borderId="37" xfId="1" applyNumberFormat="1" applyFont="1" applyFill="1" applyBorder="1" applyAlignment="1">
      <alignment vertical="center"/>
    </xf>
    <xf numFmtId="165" fontId="7" fillId="2" borderId="38" xfId="1" applyNumberFormat="1" applyFont="1" applyFill="1" applyBorder="1" applyAlignment="1">
      <alignment vertical="center"/>
    </xf>
    <xf numFmtId="0" fontId="7" fillId="0" borderId="77" xfId="1" applyFont="1" applyBorder="1" applyAlignment="1">
      <alignment horizontal="center" vertical="center"/>
    </xf>
    <xf numFmtId="0" fontId="7" fillId="0" borderId="78" xfId="1" applyFont="1" applyBorder="1" applyAlignment="1">
      <alignment vertical="center"/>
    </xf>
    <xf numFmtId="0" fontId="8" fillId="0" borderId="78" xfId="1" applyFont="1" applyBorder="1" applyAlignment="1">
      <alignment vertical="center"/>
    </xf>
    <xf numFmtId="168" fontId="7" fillId="0" borderId="0" xfId="1" applyNumberFormat="1" applyFont="1" applyBorder="1" applyAlignment="1">
      <alignment vertical="center"/>
    </xf>
    <xf numFmtId="169" fontId="7" fillId="0" borderId="0" xfId="1" applyNumberFormat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166" fontId="7" fillId="0" borderId="0" xfId="1" applyNumberFormat="1" applyFont="1" applyAlignment="1">
      <alignment horizontal="center" vertical="center"/>
    </xf>
    <xf numFmtId="166" fontId="38" fillId="0" borderId="0" xfId="1" applyNumberFormat="1" applyFont="1" applyAlignment="1">
      <alignment horizontal="center" vertical="center"/>
    </xf>
    <xf numFmtId="167" fontId="7" fillId="0" borderId="0" xfId="127" applyFont="1" applyAlignment="1">
      <alignment horizontal="center" vertical="center"/>
    </xf>
    <xf numFmtId="0" fontId="44" fillId="0" borderId="0" xfId="1" applyFont="1" applyAlignment="1">
      <alignment horizontal="center" vertical="center"/>
    </xf>
    <xf numFmtId="166" fontId="44" fillId="0" borderId="0" xfId="1" applyNumberFormat="1" applyFont="1" applyAlignment="1">
      <alignment horizontal="center" vertical="center"/>
    </xf>
    <xf numFmtId="0" fontId="8" fillId="0" borderId="0" xfId="40" applyFont="1" applyAlignment="1">
      <alignment horizontal="center" vertical="center"/>
    </xf>
    <xf numFmtId="0" fontId="8" fillId="0" borderId="0" xfId="40" applyFont="1" applyBorder="1" applyAlignment="1">
      <alignment vertical="center"/>
    </xf>
    <xf numFmtId="37" fontId="45" fillId="0" borderId="0" xfId="109" applyNumberFormat="1" applyFont="1" applyFill="1" applyBorder="1" applyAlignment="1">
      <alignment horizontal="right"/>
    </xf>
    <xf numFmtId="166" fontId="8" fillId="0" borderId="0" xfId="40" applyNumberFormat="1" applyFont="1" applyBorder="1" applyAlignment="1">
      <alignment vertical="center"/>
    </xf>
    <xf numFmtId="0" fontId="8" fillId="0" borderId="0" xfId="114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48" fillId="0" borderId="0" xfId="1" applyNumberFormat="1" applyFont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10" fillId="0" borderId="50" xfId="1" applyFont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2" borderId="9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10" fillId="0" borderId="53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54" xfId="1" applyFont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2" borderId="21" xfId="1" quotePrefix="1" applyFont="1" applyFill="1" applyBorder="1" applyAlignment="1">
      <alignment horizontal="center" vertical="center"/>
    </xf>
    <xf numFmtId="0" fontId="10" fillId="2" borderId="13" xfId="1" quotePrefix="1" applyFont="1" applyFill="1" applyBorder="1" applyAlignment="1">
      <alignment horizontal="center" vertical="center"/>
    </xf>
    <xf numFmtId="0" fontId="10" fillId="2" borderId="15" xfId="1" quotePrefix="1" applyFont="1" applyFill="1" applyBorder="1" applyAlignment="1">
      <alignment horizontal="center" vertical="center"/>
    </xf>
    <xf numFmtId="0" fontId="10" fillId="2" borderId="15" xfId="1" quotePrefix="1" applyFont="1" applyFill="1" applyBorder="1" applyAlignment="1">
      <alignment horizontal="center" vertical="center"/>
    </xf>
    <xf numFmtId="0" fontId="49" fillId="2" borderId="22" xfId="1" quotePrefix="1" applyFont="1" applyFill="1" applyBorder="1" applyAlignment="1">
      <alignment horizontal="center" vertical="center"/>
    </xf>
    <xf numFmtId="0" fontId="10" fillId="2" borderId="22" xfId="1" quotePrefix="1" applyFont="1" applyFill="1" applyBorder="1" applyAlignment="1">
      <alignment horizontal="center" vertical="center"/>
    </xf>
    <xf numFmtId="0" fontId="10" fillId="2" borderId="23" xfId="1" quotePrefix="1" applyFont="1" applyFill="1" applyBorder="1" applyAlignment="1">
      <alignment horizontal="center" vertical="center"/>
    </xf>
    <xf numFmtId="0" fontId="10" fillId="0" borderId="14" xfId="1" quotePrefix="1" applyFont="1" applyBorder="1" applyAlignment="1">
      <alignment horizontal="center" vertical="center"/>
    </xf>
    <xf numFmtId="0" fontId="10" fillId="0" borderId="15" xfId="1" quotePrefix="1" applyFont="1" applyBorder="1" applyAlignment="1">
      <alignment horizontal="center" vertical="center"/>
    </xf>
    <xf numFmtId="0" fontId="10" fillId="0" borderId="22" xfId="1" quotePrefix="1" applyFont="1" applyBorder="1" applyAlignment="1">
      <alignment horizontal="center" vertical="center"/>
    </xf>
    <xf numFmtId="0" fontId="10" fillId="0" borderId="55" xfId="1" quotePrefix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0" fillId="0" borderId="12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54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166" fontId="49" fillId="0" borderId="12" xfId="1" applyNumberFormat="1" applyFont="1" applyBorder="1" applyAlignment="1">
      <alignment vertical="center"/>
    </xf>
    <xf numFmtId="176" fontId="10" fillId="0" borderId="0" xfId="1" applyNumberFormat="1" applyFont="1" applyBorder="1" applyAlignment="1">
      <alignment horizontal="center" vertical="center"/>
    </xf>
    <xf numFmtId="176" fontId="10" fillId="0" borderId="11" xfId="1" applyNumberFormat="1" applyFont="1" applyBorder="1" applyAlignment="1">
      <alignment vertical="center"/>
    </xf>
    <xf numFmtId="165" fontId="10" fillId="0" borderId="12" xfId="1" applyNumberFormat="1" applyFont="1" applyBorder="1" applyAlignment="1">
      <alignment vertical="center"/>
    </xf>
    <xf numFmtId="0" fontId="9" fillId="0" borderId="26" xfId="1" applyNumberFormat="1" applyFont="1" applyBorder="1" applyAlignment="1">
      <alignment horizontal="center" vertical="center"/>
    </xf>
    <xf numFmtId="166" fontId="9" fillId="0" borderId="27" xfId="1" quotePrefix="1" applyNumberFormat="1" applyFont="1" applyFill="1" applyBorder="1" applyAlignment="1">
      <alignment horizontal="center" vertical="center"/>
    </xf>
    <xf numFmtId="166" fontId="50" fillId="0" borderId="28" xfId="1" applyNumberFormat="1" applyFont="1" applyBorder="1" applyAlignment="1">
      <alignment vertical="center"/>
    </xf>
    <xf numFmtId="165" fontId="9" fillId="0" borderId="29" xfId="1" applyNumberFormat="1" applyFont="1" applyBorder="1" applyAlignment="1">
      <alignment vertical="center"/>
    </xf>
    <xf numFmtId="166" fontId="9" fillId="0" borderId="61" xfId="1" applyNumberFormat="1" applyFont="1" applyBorder="1" applyAlignment="1">
      <alignment horizontal="center" vertical="center"/>
    </xf>
    <xf numFmtId="166" fontId="9" fillId="0" borderId="27" xfId="1" applyNumberFormat="1" applyFont="1" applyBorder="1" applyAlignment="1">
      <alignment vertical="center"/>
    </xf>
    <xf numFmtId="165" fontId="9" fillId="0" borderId="28" xfId="1" applyNumberFormat="1" applyFont="1" applyBorder="1" applyAlignment="1">
      <alignment vertical="center"/>
    </xf>
    <xf numFmtId="0" fontId="9" fillId="0" borderId="62" xfId="1" applyFont="1" applyBorder="1" applyAlignment="1">
      <alignment horizontal="left" vertical="center" wrapText="1"/>
    </xf>
    <xf numFmtId="166" fontId="6" fillId="0" borderId="0" xfId="0" applyNumberFormat="1" applyFont="1" applyAlignment="1">
      <alignment vertical="center"/>
    </xf>
    <xf numFmtId="0" fontId="9" fillId="0" borderId="10" xfId="1" applyNumberFormat="1" applyFont="1" applyBorder="1" applyAlignment="1">
      <alignment horizontal="center" vertical="center"/>
    </xf>
    <xf numFmtId="165" fontId="9" fillId="0" borderId="11" xfId="1" applyNumberFormat="1" applyFont="1" applyFill="1" applyBorder="1" applyAlignment="1">
      <alignment horizontal="center" vertical="center"/>
    </xf>
    <xf numFmtId="167" fontId="50" fillId="0" borderId="12" xfId="1" applyNumberFormat="1" applyFont="1" applyBorder="1" applyAlignment="1">
      <alignment vertical="center"/>
    </xf>
    <xf numFmtId="166" fontId="9" fillId="0" borderId="0" xfId="1" applyNumberFormat="1" applyFont="1" applyBorder="1" applyAlignment="1">
      <alignment horizontal="center" vertical="center"/>
    </xf>
    <xf numFmtId="166" fontId="9" fillId="0" borderId="11" xfId="1" applyNumberFormat="1" applyFont="1" applyBorder="1" applyAlignment="1">
      <alignment vertical="center"/>
    </xf>
    <xf numFmtId="165" fontId="9" fillId="0" borderId="12" xfId="1" applyNumberFormat="1" applyFont="1" applyBorder="1" applyAlignment="1">
      <alignment vertical="center"/>
    </xf>
    <xf numFmtId="2" fontId="9" fillId="0" borderId="12" xfId="1" applyNumberFormat="1" applyFont="1" applyBorder="1" applyAlignment="1">
      <alignment vertical="center"/>
    </xf>
    <xf numFmtId="0" fontId="9" fillId="0" borderId="54" xfId="1" applyFont="1" applyBorder="1" applyAlignment="1">
      <alignment horizontal="left" vertical="center" wrapText="1"/>
    </xf>
    <xf numFmtId="165" fontId="6" fillId="0" borderId="0" xfId="0" applyNumberFormat="1" applyFont="1" applyAlignment="1">
      <alignment vertical="center"/>
    </xf>
    <xf numFmtId="166" fontId="50" fillId="0" borderId="12" xfId="1" applyNumberFormat="1" applyFont="1" applyBorder="1" applyAlignment="1">
      <alignment vertical="center"/>
    </xf>
    <xf numFmtId="0" fontId="9" fillId="0" borderId="25" xfId="1" applyFont="1" applyBorder="1" applyAlignment="1">
      <alignment vertical="center"/>
    </xf>
    <xf numFmtId="179" fontId="9" fillId="0" borderId="27" xfId="1" applyNumberFormat="1" applyFont="1" applyFill="1" applyBorder="1" applyAlignment="1">
      <alignment horizontal="center" vertical="center"/>
    </xf>
    <xf numFmtId="39" fontId="9" fillId="0" borderId="27" xfId="1" applyNumberFormat="1" applyFont="1" applyFill="1" applyBorder="1" applyAlignment="1">
      <alignment horizontal="center" vertical="center"/>
    </xf>
    <xf numFmtId="0" fontId="9" fillId="0" borderId="74" xfId="1" applyFont="1" applyBorder="1" applyAlignment="1">
      <alignment horizontal="left" vertical="center" wrapText="1"/>
    </xf>
    <xf numFmtId="49" fontId="9" fillId="0" borderId="10" xfId="1" applyNumberFormat="1" applyFont="1" applyBorder="1" applyAlignment="1">
      <alignment horizontal="center" vertical="center"/>
    </xf>
    <xf numFmtId="49" fontId="9" fillId="0" borderId="11" xfId="1" applyNumberFormat="1" applyFont="1" applyBorder="1" applyAlignment="1">
      <alignment horizontal="left" vertical="center"/>
    </xf>
    <xf numFmtId="49" fontId="9" fillId="0" borderId="18" xfId="1" applyNumberFormat="1" applyFont="1" applyBorder="1" applyAlignment="1">
      <alignment horizontal="center" vertical="center"/>
    </xf>
    <xf numFmtId="49" fontId="9" fillId="0" borderId="19" xfId="1" applyNumberFormat="1" applyFont="1" applyBorder="1" applyAlignment="1">
      <alignment horizontal="left" vertical="center"/>
    </xf>
    <xf numFmtId="49" fontId="9" fillId="0" borderId="19" xfId="1" applyNumberFormat="1" applyFont="1" applyBorder="1" applyAlignment="1">
      <alignment horizontal="center" vertical="center"/>
    </xf>
    <xf numFmtId="165" fontId="9" fillId="0" borderId="20" xfId="1" applyNumberFormat="1" applyFont="1" applyFill="1" applyBorder="1" applyAlignment="1">
      <alignment horizontal="center" vertical="center"/>
    </xf>
    <xf numFmtId="165" fontId="9" fillId="0" borderId="19" xfId="1" applyNumberFormat="1" applyFont="1" applyFill="1" applyBorder="1" applyAlignment="1">
      <alignment horizontal="center" vertical="center"/>
    </xf>
    <xf numFmtId="166" fontId="9" fillId="0" borderId="20" xfId="1" applyNumberFormat="1" applyFont="1" applyBorder="1" applyAlignment="1">
      <alignment vertical="center"/>
    </xf>
    <xf numFmtId="165" fontId="9" fillId="0" borderId="43" xfId="1" applyNumberFormat="1" applyFont="1" applyBorder="1" applyAlignment="1">
      <alignment vertical="center"/>
    </xf>
    <xf numFmtId="0" fontId="9" fillId="0" borderId="62" xfId="1" applyFont="1" applyBorder="1" applyAlignment="1">
      <alignment horizontal="left" vertical="center" wrapText="1"/>
    </xf>
    <xf numFmtId="0" fontId="9" fillId="0" borderId="54" xfId="1" applyFont="1" applyBorder="1" applyAlignment="1">
      <alignment horizontal="left" vertical="center" wrapText="1"/>
    </xf>
    <xf numFmtId="165" fontId="9" fillId="0" borderId="10" xfId="1" applyNumberFormat="1" applyFont="1" applyBorder="1" applyAlignment="1">
      <alignment vertical="center"/>
    </xf>
    <xf numFmtId="49" fontId="9" fillId="0" borderId="17" xfId="1" applyNumberFormat="1" applyFont="1" applyBorder="1" applyAlignment="1">
      <alignment horizontal="left" vertical="center"/>
    </xf>
    <xf numFmtId="0" fontId="9" fillId="0" borderId="18" xfId="1" applyNumberFormat="1" applyFont="1" applyBorder="1" applyAlignment="1">
      <alignment horizontal="center" vertical="center"/>
    </xf>
    <xf numFmtId="0" fontId="9" fillId="0" borderId="19" xfId="1" applyNumberFormat="1" applyFont="1" applyBorder="1" applyAlignment="1">
      <alignment horizontal="left" vertical="center"/>
    </xf>
    <xf numFmtId="49" fontId="9" fillId="0" borderId="19" xfId="1" applyNumberFormat="1" applyFont="1" applyFill="1" applyBorder="1" applyAlignment="1">
      <alignment horizontal="center" vertical="center"/>
    </xf>
    <xf numFmtId="0" fontId="9" fillId="0" borderId="19" xfId="1" applyNumberFormat="1" applyFont="1" applyFill="1" applyBorder="1" applyAlignment="1">
      <alignment horizontal="center" vertical="center"/>
    </xf>
    <xf numFmtId="0" fontId="9" fillId="0" borderId="18" xfId="1" applyFont="1" applyBorder="1" applyAlignment="1">
      <alignment horizontal="left" vertical="center" wrapText="1"/>
    </xf>
    <xf numFmtId="0" fontId="9" fillId="0" borderId="26" xfId="1" applyFont="1" applyBorder="1" applyAlignment="1">
      <alignment horizontal="center" vertical="center"/>
    </xf>
    <xf numFmtId="0" fontId="9" fillId="0" borderId="27" xfId="1" applyFont="1" applyBorder="1" applyAlignment="1">
      <alignment vertical="center"/>
    </xf>
    <xf numFmtId="0" fontId="9" fillId="0" borderId="54" xfId="1" applyFont="1" applyBorder="1" applyAlignment="1">
      <alignment vertical="center" wrapText="1"/>
    </xf>
    <xf numFmtId="165" fontId="9" fillId="0" borderId="23" xfId="1" applyNumberFormat="1" applyFont="1" applyBorder="1" applyAlignment="1">
      <alignment vertical="center"/>
    </xf>
    <xf numFmtId="166" fontId="9" fillId="0" borderId="73" xfId="1" applyNumberFormat="1" applyFont="1" applyBorder="1" applyAlignment="1">
      <alignment horizontal="center" vertical="center"/>
    </xf>
    <xf numFmtId="166" fontId="9" fillId="0" borderId="19" xfId="1" applyNumberFormat="1" applyFont="1" applyBorder="1" applyAlignment="1">
      <alignment vertical="center"/>
    </xf>
    <xf numFmtId="165" fontId="9" fillId="0" borderId="20" xfId="1" applyNumberFormat="1" applyFont="1" applyBorder="1" applyAlignment="1">
      <alignment vertical="center"/>
    </xf>
    <xf numFmtId="2" fontId="9" fillId="0" borderId="20" xfId="1" applyNumberFormat="1" applyFont="1" applyBorder="1" applyAlignment="1">
      <alignment vertical="center"/>
    </xf>
    <xf numFmtId="0" fontId="9" fillId="0" borderId="74" xfId="1" applyFont="1" applyBorder="1" applyAlignment="1">
      <alignment vertical="center" wrapText="1"/>
    </xf>
    <xf numFmtId="0" fontId="10" fillId="2" borderId="45" xfId="1" applyFont="1" applyFill="1" applyBorder="1" applyAlignment="1">
      <alignment horizontal="center" vertical="center"/>
    </xf>
    <xf numFmtId="165" fontId="10" fillId="2" borderId="45" xfId="1" applyNumberFormat="1" applyFont="1" applyFill="1" applyBorder="1" applyAlignment="1">
      <alignment horizontal="center" vertical="center"/>
    </xf>
    <xf numFmtId="166" fontId="10" fillId="2" borderId="46" xfId="1" applyNumberFormat="1" applyFont="1" applyFill="1" applyBorder="1" applyAlignment="1">
      <alignment vertical="center"/>
    </xf>
    <xf numFmtId="165" fontId="10" fillId="2" borderId="47" xfId="1" applyNumberFormat="1" applyFont="1" applyFill="1" applyBorder="1" applyAlignment="1">
      <alignment vertical="center"/>
    </xf>
    <xf numFmtId="166" fontId="10" fillId="0" borderId="75" xfId="1" applyNumberFormat="1" applyFont="1" applyBorder="1" applyAlignment="1">
      <alignment horizontal="center" vertical="center"/>
    </xf>
    <xf numFmtId="166" fontId="10" fillId="0" borderId="32" xfId="1" applyNumberFormat="1" applyFont="1" applyBorder="1" applyAlignment="1">
      <alignment vertical="center"/>
    </xf>
    <xf numFmtId="165" fontId="10" fillId="0" borderId="33" xfId="1" applyNumberFormat="1" applyFont="1" applyBorder="1" applyAlignment="1">
      <alignment vertical="center"/>
    </xf>
    <xf numFmtId="166" fontId="10" fillId="0" borderId="33" xfId="1" applyNumberFormat="1" applyFont="1" applyBorder="1" applyAlignment="1">
      <alignment vertical="center"/>
    </xf>
    <xf numFmtId="39" fontId="10" fillId="0" borderId="33" xfId="1" applyNumberFormat="1" applyFont="1" applyBorder="1" applyAlignment="1">
      <alignment vertical="center"/>
    </xf>
    <xf numFmtId="0" fontId="10" fillId="0" borderId="76" xfId="1" applyFont="1" applyBorder="1" applyAlignment="1">
      <alignment vertical="center"/>
    </xf>
    <xf numFmtId="180" fontId="12" fillId="0" borderId="0" xfId="6" applyNumberFormat="1" applyFont="1" applyAlignment="1">
      <alignment vertical="center"/>
    </xf>
    <xf numFmtId="0" fontId="12" fillId="0" borderId="77" xfId="1" applyFont="1" applyBorder="1" applyAlignment="1">
      <alignment horizontal="center" vertical="center"/>
    </xf>
    <xf numFmtId="0" fontId="12" fillId="0" borderId="78" xfId="1" applyFont="1" applyBorder="1" applyAlignment="1">
      <alignment vertical="center"/>
    </xf>
    <xf numFmtId="166" fontId="14" fillId="0" borderId="0" xfId="1" applyNumberFormat="1" applyFont="1" applyAlignment="1">
      <alignment vertical="center"/>
    </xf>
    <xf numFmtId="175" fontId="6" fillId="0" borderId="0" xfId="0" applyNumberFormat="1" applyFont="1" applyAlignment="1">
      <alignment vertical="center"/>
    </xf>
    <xf numFmtId="2" fontId="52" fillId="0" borderId="0" xfId="1" applyNumberFormat="1" applyFont="1" applyAlignment="1">
      <alignment horizontal="center" vertical="center"/>
    </xf>
    <xf numFmtId="165" fontId="14" fillId="0" borderId="0" xfId="1" applyNumberFormat="1" applyFont="1" applyAlignment="1">
      <alignment horizontal="center" vertical="center"/>
    </xf>
    <xf numFmtId="166" fontId="53" fillId="0" borderId="0" xfId="1" applyNumberFormat="1" applyFont="1" applyAlignment="1">
      <alignment horizontal="center" vertical="center"/>
    </xf>
    <xf numFmtId="167" fontId="14" fillId="0" borderId="0" xfId="6" applyFont="1" applyAlignment="1">
      <alignment horizontal="center" vertical="center"/>
    </xf>
    <xf numFmtId="166" fontId="17" fillId="0" borderId="0" xfId="1" applyNumberFormat="1" applyFont="1" applyAlignment="1">
      <alignment horizontal="center" vertical="center"/>
    </xf>
    <xf numFmtId="0" fontId="54" fillId="0" borderId="0" xfId="0" applyFont="1"/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vertical="center"/>
    </xf>
    <xf numFmtId="49" fontId="9" fillId="0" borderId="17" xfId="1" applyNumberFormat="1" applyFont="1" applyBorder="1" applyAlignment="1">
      <alignment horizontal="left" vertical="center" indent="1"/>
    </xf>
    <xf numFmtId="3" fontId="9" fillId="0" borderId="18" xfId="1" applyNumberFormat="1" applyFont="1" applyBorder="1" applyAlignment="1">
      <alignment horizontal="center" vertical="center"/>
    </xf>
    <xf numFmtId="165" fontId="9" fillId="0" borderId="19" xfId="1" applyNumberFormat="1" applyFont="1" applyBorder="1" applyAlignment="1">
      <alignment horizontal="center" vertical="center"/>
    </xf>
    <xf numFmtId="4" fontId="9" fillId="0" borderId="43" xfId="1" applyNumberFormat="1" applyFont="1" applyBorder="1" applyAlignment="1">
      <alignment vertical="center"/>
    </xf>
    <xf numFmtId="3" fontId="9" fillId="0" borderId="11" xfId="1" applyNumberFormat="1" applyFont="1" applyBorder="1" applyAlignment="1">
      <alignment horizontal="right" vertical="center"/>
    </xf>
    <xf numFmtId="3" fontId="9" fillId="0" borderId="12" xfId="1" applyNumberFormat="1" applyFont="1" applyBorder="1" applyAlignment="1">
      <alignment horizontal="right" vertical="center"/>
    </xf>
    <xf numFmtId="4" fontId="9" fillId="0" borderId="11" xfId="1" applyNumberFormat="1" applyFont="1" applyBorder="1" applyAlignment="1">
      <alignment horizontal="right" vertical="center"/>
    </xf>
    <xf numFmtId="0" fontId="8" fillId="0" borderId="0" xfId="62" applyFont="1" applyAlignment="1">
      <alignment vertical="center"/>
    </xf>
    <xf numFmtId="165" fontId="8" fillId="0" borderId="0" xfId="31" applyNumberFormat="1" applyFont="1" applyAlignment="1">
      <alignment vertical="center"/>
    </xf>
    <xf numFmtId="0" fontId="30" fillId="0" borderId="0" xfId="1" applyFont="1" applyAlignment="1">
      <alignment horizontal="center" vertical="center"/>
    </xf>
    <xf numFmtId="164" fontId="12" fillId="0" borderId="0" xfId="1" applyNumberFormat="1" applyFont="1" applyAlignment="1">
      <alignment horizontal="center" vertical="center"/>
    </xf>
    <xf numFmtId="0" fontId="26" fillId="0" borderId="0" xfId="42"/>
    <xf numFmtId="0" fontId="8" fillId="0" borderId="0" xfId="51" applyFont="1" applyAlignment="1">
      <alignment vertical="center"/>
    </xf>
    <xf numFmtId="0" fontId="54" fillId="0" borderId="0" xfId="51" applyFont="1"/>
    <xf numFmtId="2" fontId="8" fillId="0" borderId="0" xfId="51" applyNumberFormat="1" applyFont="1" applyAlignment="1">
      <alignment vertical="center"/>
    </xf>
    <xf numFmtId="0" fontId="7" fillId="0" borderId="0" xfId="1" applyFont="1" applyAlignment="1">
      <alignment vertical="center"/>
    </xf>
    <xf numFmtId="166" fontId="7" fillId="0" borderId="0" xfId="1" applyNumberFormat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6" fillId="0" borderId="0" xfId="51" applyFont="1" applyAlignment="1">
      <alignment vertical="center"/>
    </xf>
    <xf numFmtId="0" fontId="14" fillId="0" borderId="0" xfId="1" applyFont="1" applyAlignment="1">
      <alignment horizontal="center" vertical="center"/>
    </xf>
    <xf numFmtId="166" fontId="14" fillId="0" borderId="0" xfId="1" applyNumberFormat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166" fontId="17" fillId="0" borderId="0" xfId="1" applyNumberFormat="1" applyFont="1" applyAlignment="1">
      <alignment horizontal="center" vertical="center"/>
    </xf>
    <xf numFmtId="0" fontId="14" fillId="0" borderId="0" xfId="1" applyFont="1" applyAlignment="1">
      <alignment vertical="center"/>
    </xf>
    <xf numFmtId="167" fontId="14" fillId="0" borderId="0" xfId="135" applyFont="1" applyAlignment="1">
      <alignment horizontal="center" vertical="center"/>
    </xf>
    <xf numFmtId="166" fontId="53" fillId="0" borderId="0" xfId="1" applyNumberFormat="1" applyFont="1" applyAlignment="1">
      <alignment horizontal="center" vertical="center"/>
    </xf>
    <xf numFmtId="165" fontId="14" fillId="0" borderId="0" xfId="1" applyNumberFormat="1" applyFont="1" applyAlignment="1">
      <alignment horizontal="center" vertical="center"/>
    </xf>
    <xf numFmtId="2" fontId="52" fillId="0" borderId="0" xfId="1" applyNumberFormat="1" applyFont="1" applyAlignment="1">
      <alignment horizontal="center" vertical="center"/>
    </xf>
    <xf numFmtId="175" fontId="6" fillId="0" borderId="0" xfId="51" applyNumberFormat="1" applyFont="1" applyAlignment="1">
      <alignment vertical="center"/>
    </xf>
    <xf numFmtId="166" fontId="14" fillId="0" borderId="0" xfId="1" applyNumberFormat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5" fontId="7" fillId="0" borderId="0" xfId="1" applyNumberFormat="1" applyFont="1" applyBorder="1" applyAlignment="1">
      <alignment vertical="center"/>
    </xf>
    <xf numFmtId="169" fontId="13" fillId="0" borderId="0" xfId="1" applyNumberFormat="1" applyFont="1" applyBorder="1" applyAlignment="1">
      <alignment vertical="center"/>
    </xf>
    <xf numFmtId="168" fontId="13" fillId="0" borderId="0" xfId="1" applyNumberFormat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2" fillId="0" borderId="0" xfId="51" applyFont="1" applyAlignment="1">
      <alignment vertical="center"/>
    </xf>
    <xf numFmtId="0" fontId="12" fillId="0" borderId="78" xfId="1" applyFont="1" applyBorder="1" applyAlignment="1">
      <alignment vertical="center"/>
    </xf>
    <xf numFmtId="0" fontId="12" fillId="0" borderId="77" xfId="1" applyFont="1" applyBorder="1" applyAlignment="1">
      <alignment horizontal="center" vertical="center"/>
    </xf>
    <xf numFmtId="165" fontId="12" fillId="2" borderId="38" xfId="1" applyNumberFormat="1" applyFont="1" applyFill="1" applyBorder="1" applyAlignment="1">
      <alignment vertical="center"/>
    </xf>
    <xf numFmtId="0" fontId="12" fillId="2" borderId="37" xfId="1" applyFont="1" applyFill="1" applyBorder="1" applyAlignment="1">
      <alignment vertical="center"/>
    </xf>
    <xf numFmtId="168" fontId="10" fillId="2" borderId="37" xfId="1" applyNumberFormat="1" applyFont="1" applyFill="1" applyBorder="1" applyAlignment="1">
      <alignment vertical="center"/>
    </xf>
    <xf numFmtId="0" fontId="12" fillId="2" borderId="36" xfId="1" applyFont="1" applyFill="1" applyBorder="1" applyAlignment="1">
      <alignment vertical="center"/>
    </xf>
    <xf numFmtId="0" fontId="10" fillId="2" borderId="35" xfId="1" applyFont="1" applyFill="1" applyBorder="1" applyAlignment="1">
      <alignment horizontal="center" vertical="center"/>
    </xf>
    <xf numFmtId="180" fontId="12" fillId="0" borderId="0" xfId="135" applyNumberFormat="1" applyFont="1" applyAlignment="1">
      <alignment vertical="center"/>
    </xf>
    <xf numFmtId="0" fontId="10" fillId="0" borderId="76" xfId="1" applyFont="1" applyBorder="1" applyAlignment="1">
      <alignment vertical="center"/>
    </xf>
    <xf numFmtId="39" fontId="10" fillId="0" borderId="33" xfId="1" applyNumberFormat="1" applyFont="1" applyBorder="1" applyAlignment="1">
      <alignment vertical="center"/>
    </xf>
    <xf numFmtId="166" fontId="10" fillId="0" borderId="33" xfId="1" applyNumberFormat="1" applyFont="1" applyBorder="1" applyAlignment="1">
      <alignment vertical="center"/>
    </xf>
    <xf numFmtId="165" fontId="10" fillId="0" borderId="33" xfId="1" applyNumberFormat="1" applyFont="1" applyBorder="1" applyAlignment="1">
      <alignment vertical="center"/>
    </xf>
    <xf numFmtId="166" fontId="10" fillId="0" borderId="32" xfId="1" applyNumberFormat="1" applyFont="1" applyBorder="1" applyAlignment="1">
      <alignment vertical="center"/>
    </xf>
    <xf numFmtId="166" fontId="10" fillId="0" borderId="75" xfId="1" applyNumberFormat="1" applyFont="1" applyBorder="1" applyAlignment="1">
      <alignment horizontal="center" vertical="center"/>
    </xf>
    <xf numFmtId="165" fontId="10" fillId="2" borderId="47" xfId="1" applyNumberFormat="1" applyFont="1" applyFill="1" applyBorder="1" applyAlignment="1">
      <alignment vertical="center"/>
    </xf>
    <xf numFmtId="166" fontId="10" fillId="2" borderId="46" xfId="1" applyNumberFormat="1" applyFont="1" applyFill="1" applyBorder="1" applyAlignment="1">
      <alignment vertical="center"/>
    </xf>
    <xf numFmtId="165" fontId="10" fillId="2" borderId="45" xfId="1" applyNumberFormat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center" vertical="center"/>
    </xf>
    <xf numFmtId="0" fontId="10" fillId="2" borderId="30" xfId="1" applyFont="1" applyFill="1" applyBorder="1" applyAlignment="1">
      <alignment horizontal="center" vertical="center"/>
    </xf>
    <xf numFmtId="0" fontId="9" fillId="0" borderId="74" xfId="1" applyFont="1" applyBorder="1" applyAlignment="1">
      <alignment vertical="center" wrapText="1"/>
    </xf>
    <xf numFmtId="165" fontId="9" fillId="0" borderId="20" xfId="1" applyNumberFormat="1" applyFont="1" applyBorder="1" applyAlignment="1">
      <alignment vertical="center"/>
    </xf>
    <xf numFmtId="166" fontId="9" fillId="0" borderId="20" xfId="1" applyNumberFormat="1" applyFont="1" applyBorder="1" applyAlignment="1">
      <alignment vertical="center"/>
    </xf>
    <xf numFmtId="2" fontId="9" fillId="0" borderId="20" xfId="1" applyNumberFormat="1" applyFont="1" applyBorder="1" applyAlignment="1">
      <alignment vertical="center"/>
    </xf>
    <xf numFmtId="166" fontId="9" fillId="0" borderId="19" xfId="1" applyNumberFormat="1" applyFont="1" applyBorder="1" applyAlignment="1">
      <alignment vertical="center"/>
    </xf>
    <xf numFmtId="166" fontId="9" fillId="0" borderId="73" xfId="1" applyNumberFormat="1" applyFont="1" applyBorder="1" applyAlignment="1">
      <alignment horizontal="center" vertical="center"/>
    </xf>
    <xf numFmtId="165" fontId="9" fillId="0" borderId="23" xfId="1" applyNumberFormat="1" applyFont="1" applyBorder="1" applyAlignment="1">
      <alignment vertical="center"/>
    </xf>
    <xf numFmtId="165" fontId="9" fillId="0" borderId="19" xfId="1" applyNumberFormat="1" applyFont="1" applyFill="1" applyBorder="1" applyAlignment="1">
      <alignment horizontal="center" vertical="center"/>
    </xf>
    <xf numFmtId="49" fontId="9" fillId="0" borderId="19" xfId="1" applyNumberFormat="1" applyFont="1" applyBorder="1" applyAlignment="1">
      <alignment horizontal="center" vertical="center"/>
    </xf>
    <xf numFmtId="49" fontId="9" fillId="0" borderId="19" xfId="1" applyNumberFormat="1" applyFont="1" applyBorder="1" applyAlignment="1">
      <alignment horizontal="left" vertical="center"/>
    </xf>
    <xf numFmtId="49" fontId="9" fillId="0" borderId="18" xfId="1" applyNumberFormat="1" applyFont="1" applyBorder="1" applyAlignment="1">
      <alignment horizontal="center" vertical="center"/>
    </xf>
    <xf numFmtId="0" fontId="9" fillId="0" borderId="25" xfId="1" applyFont="1" applyBorder="1" applyAlignment="1">
      <alignment vertical="center"/>
    </xf>
    <xf numFmtId="165" fontId="9" fillId="0" borderId="12" xfId="1" applyNumberFormat="1" applyFont="1" applyBorder="1" applyAlignment="1">
      <alignment vertical="center"/>
    </xf>
    <xf numFmtId="166" fontId="9" fillId="0" borderId="12" xfId="1" applyNumberFormat="1" applyFont="1" applyBorder="1" applyAlignment="1">
      <alignment vertical="center"/>
    </xf>
    <xf numFmtId="2" fontId="9" fillId="0" borderId="12" xfId="1" applyNumberFormat="1" applyFont="1" applyBorder="1" applyAlignment="1">
      <alignment vertical="center"/>
    </xf>
    <xf numFmtId="166" fontId="9" fillId="0" borderId="11" xfId="1" applyNumberFormat="1" applyFont="1" applyBorder="1" applyAlignment="1">
      <alignment vertical="center"/>
    </xf>
    <xf numFmtId="166" fontId="9" fillId="0" borderId="0" xfId="1" applyNumberFormat="1" applyFont="1" applyBorder="1" applyAlignment="1">
      <alignment horizontal="center" vertical="center"/>
    </xf>
    <xf numFmtId="165" fontId="9" fillId="0" borderId="16" xfId="1" applyNumberFormat="1" applyFont="1" applyBorder="1" applyAlignment="1">
      <alignment vertical="center"/>
    </xf>
    <xf numFmtId="49" fontId="9" fillId="0" borderId="11" xfId="1" applyNumberFormat="1" applyFont="1" applyFill="1" applyBorder="1" applyAlignment="1">
      <alignment horizontal="center" vertical="center"/>
    </xf>
    <xf numFmtId="49" fontId="9" fillId="0" borderId="11" xfId="1" applyNumberFormat="1" applyFont="1" applyBorder="1" applyAlignment="1">
      <alignment horizontal="center" vertical="center"/>
    </xf>
    <xf numFmtId="49" fontId="9" fillId="0" borderId="11" xfId="1" applyNumberFormat="1" applyFont="1" applyBorder="1" applyAlignment="1">
      <alignment horizontal="left" vertical="center"/>
    </xf>
    <xf numFmtId="49" fontId="9" fillId="0" borderId="10" xfId="1" applyNumberFormat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left" vertical="center"/>
    </xf>
    <xf numFmtId="165" fontId="6" fillId="0" borderId="0" xfId="51" applyNumberFormat="1" applyFont="1" applyAlignment="1">
      <alignment vertical="center"/>
    </xf>
    <xf numFmtId="165" fontId="9" fillId="0" borderId="11" xfId="1" applyNumberFormat="1" applyFont="1" applyFill="1" applyBorder="1" applyAlignment="1">
      <alignment horizontal="center" vertical="center"/>
    </xf>
    <xf numFmtId="49" fontId="9" fillId="0" borderId="9" xfId="1" applyNumberFormat="1" applyFont="1" applyBorder="1" applyAlignment="1">
      <alignment horizontal="left" vertical="center" indent="1"/>
    </xf>
    <xf numFmtId="167" fontId="9" fillId="0" borderId="12" xfId="1" applyNumberFormat="1" applyFont="1" applyBorder="1" applyAlignment="1">
      <alignment vertical="center"/>
    </xf>
    <xf numFmtId="165" fontId="9" fillId="0" borderId="28" xfId="1" applyNumberFormat="1" applyFont="1" applyBorder="1" applyAlignment="1">
      <alignment vertical="center"/>
    </xf>
    <xf numFmtId="166" fontId="9" fillId="0" borderId="28" xfId="1" applyNumberFormat="1" applyFont="1" applyBorder="1" applyAlignment="1">
      <alignment vertical="center"/>
    </xf>
    <xf numFmtId="166" fontId="9" fillId="0" borderId="27" xfId="1" applyNumberFormat="1" applyFont="1" applyBorder="1" applyAlignment="1">
      <alignment vertical="center"/>
    </xf>
    <xf numFmtId="166" fontId="9" fillId="0" borderId="61" xfId="1" applyNumberFormat="1" applyFont="1" applyBorder="1" applyAlignment="1">
      <alignment horizontal="center" vertical="center"/>
    </xf>
    <xf numFmtId="165" fontId="9" fillId="0" borderId="29" xfId="1" applyNumberFormat="1" applyFont="1" applyBorder="1" applyAlignment="1">
      <alignment vertical="center"/>
    </xf>
    <xf numFmtId="166" fontId="9" fillId="0" borderId="27" xfId="1" applyNumberFormat="1" applyFont="1" applyFill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11" xfId="1" applyNumberFormat="1" applyFont="1" applyBorder="1" applyAlignment="1">
      <alignment horizontal="left" vertical="center"/>
    </xf>
    <xf numFmtId="0" fontId="9" fillId="0" borderId="10" xfId="1" applyNumberFormat="1" applyFont="1" applyBorder="1" applyAlignment="1">
      <alignment horizontal="center" vertical="center"/>
    </xf>
    <xf numFmtId="0" fontId="9" fillId="0" borderId="27" xfId="1" applyNumberFormat="1" applyFont="1" applyBorder="1" applyAlignment="1">
      <alignment vertical="center"/>
    </xf>
    <xf numFmtId="0" fontId="9" fillId="0" borderId="26" xfId="1" applyNumberFormat="1" applyFont="1" applyBorder="1" applyAlignment="1">
      <alignment horizontal="center" vertical="center"/>
    </xf>
    <xf numFmtId="165" fontId="9" fillId="0" borderId="43" xfId="1" applyNumberFormat="1" applyFont="1" applyBorder="1" applyAlignment="1">
      <alignment vertical="center"/>
    </xf>
    <xf numFmtId="165" fontId="9" fillId="0" borderId="20" xfId="1" applyNumberFormat="1" applyFont="1" applyFill="1" applyBorder="1" applyAlignment="1">
      <alignment horizontal="center" vertical="center"/>
    </xf>
    <xf numFmtId="166" fontId="6" fillId="0" borderId="0" xfId="51" applyNumberFormat="1" applyFont="1" applyAlignment="1">
      <alignment vertical="center"/>
    </xf>
    <xf numFmtId="1" fontId="9" fillId="0" borderId="27" xfId="1" applyNumberFormat="1" applyFont="1" applyFill="1" applyBorder="1" applyAlignment="1">
      <alignment horizontal="center" vertical="center"/>
    </xf>
    <xf numFmtId="1" fontId="6" fillId="0" borderId="0" xfId="51" applyNumberFormat="1" applyFont="1" applyAlignment="1">
      <alignment vertical="center"/>
    </xf>
    <xf numFmtId="166" fontId="9" fillId="0" borderId="27" xfId="1" quotePrefix="1" applyNumberFormat="1" applyFont="1" applyFill="1" applyBorder="1" applyAlignment="1">
      <alignment horizontal="center" vertical="center"/>
    </xf>
    <xf numFmtId="0" fontId="9" fillId="0" borderId="54" xfId="1" applyFont="1" applyBorder="1" applyAlignment="1">
      <alignment vertical="center"/>
    </xf>
    <xf numFmtId="165" fontId="10" fillId="0" borderId="12" xfId="1" applyNumberFormat="1" applyFont="1" applyBorder="1" applyAlignment="1">
      <alignment vertical="center"/>
    </xf>
    <xf numFmtId="176" fontId="10" fillId="0" borderId="11" xfId="1" applyNumberFormat="1" applyFont="1" applyBorder="1" applyAlignment="1">
      <alignment vertical="center"/>
    </xf>
    <xf numFmtId="176" fontId="10" fillId="0" borderId="0" xfId="1" applyNumberFormat="1" applyFont="1" applyBorder="1" applyAlignment="1">
      <alignment horizontal="center" vertical="center"/>
    </xf>
    <xf numFmtId="165" fontId="10" fillId="0" borderId="16" xfId="1" applyNumberFormat="1" applyFont="1" applyBorder="1" applyAlignment="1">
      <alignment vertical="center"/>
    </xf>
    <xf numFmtId="166" fontId="10" fillId="0" borderId="12" xfId="1" applyNumberFormat="1" applyFont="1" applyBorder="1" applyAlignment="1">
      <alignment vertical="center"/>
    </xf>
    <xf numFmtId="0" fontId="10" fillId="0" borderId="11" xfId="1" applyFont="1" applyBorder="1" applyAlignment="1">
      <alignment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9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9" xfId="1" applyFont="1" applyBorder="1" applyAlignment="1">
      <alignment vertical="center"/>
    </xf>
    <xf numFmtId="0" fontId="10" fillId="0" borderId="0" xfId="51" applyFont="1" applyAlignment="1">
      <alignment vertical="center"/>
    </xf>
    <xf numFmtId="0" fontId="10" fillId="0" borderId="55" xfId="1" quotePrefix="1" applyFont="1" applyBorder="1" applyAlignment="1">
      <alignment horizontal="center" vertical="center"/>
    </xf>
    <xf numFmtId="0" fontId="10" fillId="0" borderId="22" xfId="1" quotePrefix="1" applyFont="1" applyBorder="1" applyAlignment="1">
      <alignment horizontal="center" vertical="center"/>
    </xf>
    <xf numFmtId="0" fontId="10" fillId="2" borderId="23" xfId="1" quotePrefix="1" applyFont="1" applyFill="1" applyBorder="1" applyAlignment="1">
      <alignment horizontal="center" vertical="center"/>
    </xf>
    <xf numFmtId="0" fontId="10" fillId="2" borderId="22" xfId="1" quotePrefix="1" applyFont="1" applyFill="1" applyBorder="1" applyAlignment="1">
      <alignment horizontal="center" vertical="center"/>
    </xf>
    <xf numFmtId="0" fontId="10" fillId="2" borderId="15" xfId="1" quotePrefix="1" applyFont="1" applyFill="1" applyBorder="1" applyAlignment="1">
      <alignment horizontal="center" vertical="center"/>
    </xf>
    <xf numFmtId="0" fontId="10" fillId="2" borderId="21" xfId="1" quotePrefix="1" applyFont="1" applyFill="1" applyBorder="1" applyAlignment="1">
      <alignment horizontal="center" vertical="center"/>
    </xf>
    <xf numFmtId="0" fontId="10" fillId="0" borderId="54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 wrapText="1"/>
    </xf>
    <xf numFmtId="0" fontId="10" fillId="0" borderId="52" xfId="1" applyFont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5" fillId="0" borderId="0" xfId="51" applyFont="1" applyAlignment="1">
      <alignment vertical="center"/>
    </xf>
    <xf numFmtId="168" fontId="10" fillId="2" borderId="37" xfId="1" applyNumberFormat="1" applyFont="1" applyFill="1" applyBorder="1" applyAlignment="1">
      <alignment horizontal="center" vertical="center"/>
    </xf>
    <xf numFmtId="0" fontId="42" fillId="0" borderId="0" xfId="51" applyFont="1" applyAlignment="1">
      <alignment horizontal="center"/>
    </xf>
    <xf numFmtId="0" fontId="55" fillId="0" borderId="0" xfId="51" applyFont="1" applyAlignment="1">
      <alignment horizontal="center"/>
    </xf>
    <xf numFmtId="183" fontId="55" fillId="0" borderId="0" xfId="132" applyNumberFormat="1" applyFont="1" applyFill="1" applyBorder="1" applyAlignment="1">
      <alignment horizontal="center"/>
    </xf>
    <xf numFmtId="183" fontId="42" fillId="0" borderId="0" xfId="132" applyNumberFormat="1" applyFont="1" applyFill="1" applyBorder="1" applyAlignment="1">
      <alignment horizontal="center"/>
    </xf>
    <xf numFmtId="166" fontId="8" fillId="0" borderId="0" xfId="31" applyNumberFormat="1" applyFont="1" applyAlignment="1">
      <alignment vertical="center"/>
    </xf>
    <xf numFmtId="174" fontId="8" fillId="0" borderId="0" xfId="62" applyNumberFormat="1" applyFont="1" applyAlignment="1">
      <alignment vertical="center"/>
    </xf>
    <xf numFmtId="165" fontId="7" fillId="0" borderId="0" xfId="31" applyNumberFormat="1" applyFont="1" applyAlignment="1">
      <alignment vertical="center"/>
    </xf>
    <xf numFmtId="166" fontId="56" fillId="0" borderId="0" xfId="31" applyNumberFormat="1" applyFont="1" applyAlignment="1">
      <alignment horizontal="center" vertical="center"/>
    </xf>
    <xf numFmtId="164" fontId="31" fillId="0" borderId="0" xfId="1" applyNumberFormat="1" applyFont="1" applyAlignment="1">
      <alignment horizontal="center" vertical="center"/>
    </xf>
    <xf numFmtId="0" fontId="32" fillId="2" borderId="1" xfId="1" applyFont="1" applyFill="1" applyBorder="1" applyAlignment="1">
      <alignment horizontal="center" vertical="center" wrapText="1"/>
    </xf>
    <xf numFmtId="0" fontId="32" fillId="2" borderId="2" xfId="1" applyFont="1" applyFill="1" applyBorder="1" applyAlignment="1">
      <alignment horizontal="center" vertical="center" wrapText="1"/>
    </xf>
    <xf numFmtId="0" fontId="32" fillId="2" borderId="3" xfId="1" applyFont="1" applyFill="1" applyBorder="1" applyAlignment="1">
      <alignment horizontal="center" vertical="center" wrapText="1"/>
    </xf>
    <xf numFmtId="0" fontId="32" fillId="2" borderId="4" xfId="1" applyFont="1" applyFill="1" applyBorder="1" applyAlignment="1">
      <alignment horizontal="center" vertical="center" wrapText="1"/>
    </xf>
    <xf numFmtId="0" fontId="32" fillId="2" borderId="5" xfId="1" applyFont="1" applyFill="1" applyBorder="1" applyAlignment="1">
      <alignment horizontal="center" vertical="center" wrapText="1"/>
    </xf>
    <xf numFmtId="0" fontId="32" fillId="2" borderId="6" xfId="1" applyFont="1" applyFill="1" applyBorder="1" applyAlignment="1">
      <alignment horizontal="center" vertical="center" wrapText="1"/>
    </xf>
    <xf numFmtId="0" fontId="32" fillId="2" borderId="7" xfId="1" applyFont="1" applyFill="1" applyBorder="1" applyAlignment="1">
      <alignment horizontal="center" vertical="center" wrapText="1"/>
    </xf>
    <xf numFmtId="0" fontId="32" fillId="2" borderId="3" xfId="1" applyFont="1" applyFill="1" applyBorder="1" applyAlignment="1">
      <alignment horizontal="center" vertical="center" wrapText="1"/>
    </xf>
    <xf numFmtId="165" fontId="32" fillId="2" borderId="8" xfId="31" applyNumberFormat="1" applyFont="1" applyFill="1" applyBorder="1" applyAlignment="1">
      <alignment horizontal="center" vertical="center"/>
    </xf>
    <xf numFmtId="0" fontId="32" fillId="2" borderId="9" xfId="1" applyFont="1" applyFill="1" applyBorder="1" applyAlignment="1">
      <alignment horizontal="center" vertical="center" wrapText="1"/>
    </xf>
    <xf numFmtId="0" fontId="32" fillId="2" borderId="10" xfId="1" applyFont="1" applyFill="1" applyBorder="1" applyAlignment="1">
      <alignment horizontal="center" vertical="center" wrapText="1"/>
    </xf>
    <xf numFmtId="0" fontId="32" fillId="2" borderId="11" xfId="1" applyFont="1" applyFill="1" applyBorder="1" applyAlignment="1">
      <alignment horizontal="center" vertical="center" wrapText="1"/>
    </xf>
    <xf numFmtId="0" fontId="32" fillId="2" borderId="12" xfId="1" applyFont="1" applyFill="1" applyBorder="1" applyAlignment="1">
      <alignment horizontal="center" vertical="center" wrapText="1"/>
    </xf>
    <xf numFmtId="0" fontId="32" fillId="2" borderId="13" xfId="1" applyFont="1" applyFill="1" applyBorder="1" applyAlignment="1">
      <alignment horizontal="center" vertical="center" wrapText="1"/>
    </xf>
    <xf numFmtId="0" fontId="32" fillId="2" borderId="14" xfId="1" applyFont="1" applyFill="1" applyBorder="1" applyAlignment="1">
      <alignment horizontal="center" vertical="center" wrapText="1"/>
    </xf>
    <xf numFmtId="0" fontId="32" fillId="2" borderId="15" xfId="1" applyFont="1" applyFill="1" applyBorder="1" applyAlignment="1">
      <alignment horizontal="center" vertical="center" wrapText="1"/>
    </xf>
    <xf numFmtId="0" fontId="32" fillId="2" borderId="11" xfId="1" applyFont="1" applyFill="1" applyBorder="1" applyAlignment="1">
      <alignment horizontal="center" vertical="center" wrapText="1"/>
    </xf>
    <xf numFmtId="165" fontId="32" fillId="2" borderId="16" xfId="31" applyNumberFormat="1" applyFont="1" applyFill="1" applyBorder="1" applyAlignment="1">
      <alignment horizontal="center" vertical="center"/>
    </xf>
    <xf numFmtId="0" fontId="32" fillId="2" borderId="12" xfId="1" applyFont="1" applyFill="1" applyBorder="1" applyAlignment="1">
      <alignment horizontal="center" vertical="center" wrapText="1"/>
    </xf>
    <xf numFmtId="0" fontId="32" fillId="2" borderId="17" xfId="1" applyFont="1" applyFill="1" applyBorder="1" applyAlignment="1">
      <alignment horizontal="center" vertical="center" wrapText="1"/>
    </xf>
    <xf numFmtId="0" fontId="32" fillId="2" borderId="18" xfId="1" applyFont="1" applyFill="1" applyBorder="1" applyAlignment="1">
      <alignment horizontal="center" vertical="center" wrapText="1"/>
    </xf>
    <xf numFmtId="0" fontId="32" fillId="2" borderId="19" xfId="1" applyFont="1" applyFill="1" applyBorder="1" applyAlignment="1">
      <alignment horizontal="center" vertical="center" wrapText="1"/>
    </xf>
    <xf numFmtId="0" fontId="32" fillId="2" borderId="20" xfId="1" applyFont="1" applyFill="1" applyBorder="1" applyAlignment="1">
      <alignment horizontal="center" vertical="center" wrapText="1"/>
    </xf>
    <xf numFmtId="0" fontId="32" fillId="2" borderId="12" xfId="1" applyFont="1" applyFill="1" applyBorder="1" applyAlignment="1">
      <alignment horizontal="center" vertical="center"/>
    </xf>
    <xf numFmtId="0" fontId="36" fillId="2" borderId="21" xfId="1" quotePrefix="1" applyFont="1" applyFill="1" applyBorder="1" applyAlignment="1">
      <alignment horizontal="center" vertical="center"/>
    </xf>
    <xf numFmtId="0" fontId="36" fillId="2" borderId="13" xfId="1" quotePrefix="1" applyFont="1" applyFill="1" applyBorder="1" applyAlignment="1">
      <alignment horizontal="center" vertical="center"/>
    </xf>
    <xf numFmtId="0" fontId="36" fillId="2" borderId="15" xfId="1" quotePrefix="1" applyFont="1" applyFill="1" applyBorder="1" applyAlignment="1">
      <alignment horizontal="center" vertical="center"/>
    </xf>
    <xf numFmtId="0" fontId="36" fillId="2" borderId="15" xfId="1" quotePrefix="1" applyFont="1" applyFill="1" applyBorder="1" applyAlignment="1">
      <alignment horizontal="center" vertical="center"/>
    </xf>
    <xf numFmtId="0" fontId="36" fillId="2" borderId="22" xfId="1" quotePrefix="1" applyFont="1" applyFill="1" applyBorder="1" applyAlignment="1">
      <alignment horizontal="center" vertical="center"/>
    </xf>
    <xf numFmtId="0" fontId="37" fillId="0" borderId="0" xfId="62" applyFont="1" applyAlignment="1">
      <alignment vertical="center"/>
    </xf>
    <xf numFmtId="0" fontId="35" fillId="0" borderId="39" xfId="1" applyFont="1" applyBorder="1" applyAlignment="1">
      <alignment vertical="center" wrapText="1"/>
    </xf>
    <xf numFmtId="0" fontId="35" fillId="0" borderId="13" xfId="1" applyFont="1" applyBorder="1" applyAlignment="1">
      <alignment horizontal="center" vertical="center" wrapText="1"/>
    </xf>
    <xf numFmtId="0" fontId="35" fillId="0" borderId="15" xfId="1" applyFont="1" applyBorder="1" applyAlignment="1">
      <alignment vertical="center" wrapText="1"/>
    </xf>
    <xf numFmtId="0" fontId="35" fillId="0" borderId="11" xfId="1" applyFont="1" applyBorder="1" applyAlignment="1">
      <alignment vertical="center" wrapText="1"/>
    </xf>
    <xf numFmtId="166" fontId="35" fillId="0" borderId="12" xfId="1" applyNumberFormat="1" applyFont="1" applyBorder="1" applyAlignment="1">
      <alignment vertical="center"/>
    </xf>
    <xf numFmtId="166" fontId="35" fillId="0" borderId="22" xfId="1" applyNumberFormat="1" applyFont="1" applyBorder="1" applyAlignment="1">
      <alignment vertical="center"/>
    </xf>
    <xf numFmtId="165" fontId="35" fillId="0" borderId="23" xfId="31" applyNumberFormat="1" applyFont="1" applyBorder="1" applyAlignment="1">
      <alignment vertical="center"/>
    </xf>
    <xf numFmtId="0" fontId="13" fillId="0" borderId="39" xfId="1" applyFont="1" applyBorder="1" applyAlignment="1">
      <alignment vertical="center" wrapText="1"/>
    </xf>
    <xf numFmtId="0" fontId="13" fillId="0" borderId="10" xfId="1" applyFont="1" applyBorder="1" applyAlignment="1">
      <alignment horizontal="center" vertical="center" wrapText="1"/>
    </xf>
    <xf numFmtId="165" fontId="13" fillId="0" borderId="40" xfId="1" applyNumberFormat="1" applyFont="1" applyFill="1" applyBorder="1" applyAlignment="1">
      <alignment horizontal="center" vertical="center"/>
    </xf>
    <xf numFmtId="166" fontId="13" fillId="0" borderId="40" xfId="1" applyNumberFormat="1" applyFont="1" applyFill="1" applyBorder="1" applyAlignment="1">
      <alignment horizontal="center" vertical="center"/>
    </xf>
    <xf numFmtId="165" fontId="13" fillId="0" borderId="41" xfId="31" applyNumberFormat="1" applyFont="1" applyFill="1" applyBorder="1" applyAlignment="1">
      <alignment vertical="center"/>
    </xf>
    <xf numFmtId="49" fontId="13" fillId="0" borderId="9" xfId="1" applyNumberFormat="1" applyFont="1" applyFill="1" applyBorder="1" applyAlignment="1">
      <alignment horizontal="left" vertical="center" indent="2"/>
    </xf>
    <xf numFmtId="0" fontId="35" fillId="0" borderId="10" xfId="1" applyFont="1" applyBorder="1" applyAlignment="1">
      <alignment horizontal="center" vertical="center" wrapText="1"/>
    </xf>
    <xf numFmtId="176" fontId="13" fillId="0" borderId="12" xfId="1" applyNumberFormat="1" applyFont="1" applyFill="1" applyBorder="1" applyAlignment="1">
      <alignment horizontal="center" vertical="center"/>
    </xf>
    <xf numFmtId="165" fontId="35" fillId="0" borderId="16" xfId="31" applyNumberFormat="1" applyFont="1" applyBorder="1" applyAlignment="1">
      <alignment vertical="center"/>
    </xf>
    <xf numFmtId="166" fontId="13" fillId="0" borderId="40" xfId="1" applyNumberFormat="1" applyFont="1" applyFill="1" applyBorder="1" applyAlignment="1">
      <alignment vertical="center"/>
    </xf>
    <xf numFmtId="0" fontId="8" fillId="0" borderId="0" xfId="62" applyFont="1" applyFill="1" applyAlignment="1">
      <alignment vertical="center"/>
    </xf>
    <xf numFmtId="166" fontId="8" fillId="0" borderId="0" xfId="62" applyNumberFormat="1" applyFont="1" applyFill="1" applyAlignment="1">
      <alignment vertical="center"/>
    </xf>
    <xf numFmtId="0" fontId="13" fillId="0" borderId="10" xfId="1" applyNumberFormat="1" applyFont="1" applyFill="1" applyBorder="1" applyAlignment="1">
      <alignment horizontal="center" vertical="center"/>
    </xf>
    <xf numFmtId="0" fontId="13" fillId="0" borderId="11" xfId="1" applyNumberFormat="1" applyFont="1" applyFill="1" applyBorder="1" applyAlignment="1">
      <alignment horizontal="left" vertical="center"/>
    </xf>
    <xf numFmtId="49" fontId="13" fillId="0" borderId="12" xfId="1" applyNumberFormat="1" applyFont="1" applyFill="1" applyBorder="1" applyAlignment="1">
      <alignment horizontal="center" vertical="center"/>
    </xf>
    <xf numFmtId="167" fontId="13" fillId="0" borderId="12" xfId="1" applyNumberFormat="1" applyFont="1" applyFill="1" applyBorder="1" applyAlignment="1">
      <alignment vertical="center"/>
    </xf>
    <xf numFmtId="165" fontId="13" fillId="0" borderId="16" xfId="31" applyNumberFormat="1" applyFont="1" applyFill="1" applyBorder="1" applyAlignment="1">
      <alignment vertical="center"/>
    </xf>
    <xf numFmtId="166" fontId="13" fillId="0" borderId="12" xfId="1" applyNumberFormat="1" applyFont="1" applyFill="1" applyBorder="1" applyAlignment="1">
      <alignment vertical="center"/>
    </xf>
    <xf numFmtId="49" fontId="13" fillId="0" borderId="17" xfId="1" applyNumberFormat="1" applyFont="1" applyFill="1" applyBorder="1" applyAlignment="1">
      <alignment horizontal="left" vertical="center"/>
    </xf>
    <xf numFmtId="0" fontId="13" fillId="0" borderId="18" xfId="1" applyNumberFormat="1" applyFont="1" applyFill="1" applyBorder="1" applyAlignment="1">
      <alignment horizontal="center" vertical="center"/>
    </xf>
    <xf numFmtId="0" fontId="13" fillId="0" borderId="19" xfId="1" applyNumberFormat="1" applyFont="1" applyFill="1" applyBorder="1" applyAlignment="1">
      <alignment horizontal="left" vertical="center"/>
    </xf>
    <xf numFmtId="49" fontId="13" fillId="0" borderId="20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center" vertical="center"/>
    </xf>
    <xf numFmtId="166" fontId="13" fillId="0" borderId="20" xfId="1" applyNumberFormat="1" applyFont="1" applyFill="1" applyBorder="1" applyAlignment="1">
      <alignment vertical="center"/>
    </xf>
    <xf numFmtId="165" fontId="13" fillId="0" borderId="43" xfId="31" applyNumberFormat="1" applyFont="1" applyFill="1" applyBorder="1" applyAlignment="1">
      <alignment vertical="center"/>
    </xf>
    <xf numFmtId="0" fontId="13" fillId="0" borderId="44" xfId="1" applyFont="1" applyFill="1" applyBorder="1" applyAlignment="1">
      <alignment vertical="center" wrapText="1"/>
    </xf>
    <xf numFmtId="0" fontId="13" fillId="0" borderId="26" xfId="1" applyNumberFormat="1" applyFont="1" applyFill="1" applyBorder="1" applyAlignment="1">
      <alignment horizontal="center" vertical="center"/>
    </xf>
    <xf numFmtId="0" fontId="13" fillId="0" borderId="27" xfId="1" applyNumberFormat="1" applyFont="1" applyFill="1" applyBorder="1" applyAlignment="1">
      <alignment vertical="center"/>
    </xf>
    <xf numFmtId="0" fontId="13" fillId="0" borderId="27" xfId="1" applyFont="1" applyFill="1" applyBorder="1" applyAlignment="1">
      <alignment horizontal="center" vertical="center"/>
    </xf>
    <xf numFmtId="166" fontId="13" fillId="0" borderId="27" xfId="1" applyNumberFormat="1" applyFont="1" applyFill="1" applyBorder="1" applyAlignment="1">
      <alignment horizontal="center" vertical="center"/>
    </xf>
    <xf numFmtId="166" fontId="13" fillId="0" borderId="42" xfId="1" applyNumberFormat="1" applyFont="1" applyFill="1" applyBorder="1" applyAlignment="1">
      <alignment horizontal="center" vertical="center"/>
    </xf>
    <xf numFmtId="166" fontId="13" fillId="0" borderId="28" xfId="1" applyNumberFormat="1" applyFont="1" applyFill="1" applyBorder="1" applyAlignment="1">
      <alignment vertical="center"/>
    </xf>
    <xf numFmtId="49" fontId="13" fillId="0" borderId="11" xfId="1" applyNumberFormat="1" applyFont="1" applyFill="1" applyBorder="1" applyAlignment="1">
      <alignment horizontal="center" vertical="center"/>
    </xf>
    <xf numFmtId="176" fontId="13" fillId="0" borderId="11" xfId="1" applyNumberFormat="1" applyFont="1" applyFill="1" applyBorder="1" applyAlignment="1">
      <alignment horizontal="center" vertical="center"/>
    </xf>
    <xf numFmtId="49" fontId="13" fillId="0" borderId="9" xfId="1" applyNumberFormat="1" applyFont="1" applyFill="1" applyBorder="1" applyAlignment="1">
      <alignment horizontal="left" vertical="center"/>
    </xf>
    <xf numFmtId="49" fontId="13" fillId="0" borderId="44" xfId="1" applyNumberFormat="1" applyFont="1" applyFill="1" applyBorder="1" applyAlignment="1">
      <alignment horizontal="left" vertical="center"/>
    </xf>
    <xf numFmtId="0" fontId="13" fillId="0" borderId="24" xfId="1" applyNumberFormat="1" applyFont="1" applyFill="1" applyBorder="1" applyAlignment="1">
      <alignment horizontal="center" vertical="center"/>
    </xf>
    <xf numFmtId="0" fontId="13" fillId="0" borderId="42" xfId="1" applyNumberFormat="1" applyFont="1" applyFill="1" applyBorder="1" applyAlignment="1">
      <alignment horizontal="left" vertical="center"/>
    </xf>
    <xf numFmtId="165" fontId="13" fillId="0" borderId="40" xfId="31" applyNumberFormat="1" applyFont="1" applyFill="1" applyBorder="1" applyAlignment="1">
      <alignment vertical="center"/>
    </xf>
    <xf numFmtId="49" fontId="13" fillId="0" borderId="39" xfId="1" applyNumberFormat="1" applyFont="1" applyFill="1" applyBorder="1" applyAlignment="1">
      <alignment horizontal="left" vertical="center"/>
    </xf>
    <xf numFmtId="49" fontId="13" fillId="0" borderId="44" xfId="1" applyNumberFormat="1" applyFont="1" applyFill="1" applyBorder="1" applyAlignment="1">
      <alignment horizontal="left" vertical="center" wrapText="1"/>
    </xf>
    <xf numFmtId="165" fontId="13" fillId="0" borderId="29" xfId="31" applyNumberFormat="1" applyFont="1" applyFill="1" applyBorder="1" applyAlignment="1">
      <alignment vertical="center"/>
    </xf>
    <xf numFmtId="49" fontId="13" fillId="0" borderId="19" xfId="1" applyNumberFormat="1" applyFont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center" vertical="center"/>
    </xf>
    <xf numFmtId="0" fontId="13" fillId="0" borderId="42" xfId="1" applyNumberFormat="1" applyFont="1" applyFill="1" applyBorder="1" applyAlignment="1">
      <alignment vertical="center"/>
    </xf>
    <xf numFmtId="0" fontId="13" fillId="0" borderId="42" xfId="1" applyFont="1" applyFill="1" applyBorder="1" applyAlignment="1">
      <alignment horizontal="center" vertical="center"/>
    </xf>
    <xf numFmtId="2" fontId="13" fillId="0" borderId="42" xfId="1" applyNumberFormat="1" applyFont="1" applyFill="1" applyBorder="1" applyAlignment="1">
      <alignment horizontal="center" vertical="center"/>
    </xf>
    <xf numFmtId="49" fontId="13" fillId="0" borderId="10" xfId="1" applyNumberFormat="1" applyFont="1" applyFill="1" applyBorder="1" applyAlignment="1">
      <alignment horizontal="center" vertical="center"/>
    </xf>
    <xf numFmtId="49" fontId="13" fillId="0" borderId="11" xfId="1" applyNumberFormat="1" applyFont="1" applyFill="1" applyBorder="1" applyAlignment="1">
      <alignment horizontal="left" vertical="center"/>
    </xf>
    <xf numFmtId="49" fontId="13" fillId="0" borderId="17" xfId="1" quotePrefix="1" applyNumberFormat="1" applyFont="1" applyBorder="1" applyAlignment="1">
      <alignment horizontal="left" vertical="center"/>
    </xf>
    <xf numFmtId="49" fontId="13" fillId="0" borderId="18" xfId="1" applyNumberFormat="1" applyFont="1" applyBorder="1" applyAlignment="1">
      <alignment horizontal="center" vertical="center"/>
    </xf>
    <xf numFmtId="49" fontId="13" fillId="0" borderId="19" xfId="1" applyNumberFormat="1" applyFont="1" applyBorder="1" applyAlignment="1">
      <alignment horizontal="left" vertical="center"/>
    </xf>
    <xf numFmtId="49" fontId="13" fillId="0" borderId="19" xfId="1" applyNumberFormat="1" applyFont="1" applyBorder="1" applyAlignment="1">
      <alignment horizontal="center" vertical="center"/>
    </xf>
    <xf numFmtId="165" fontId="13" fillId="0" borderId="19" xfId="1" applyNumberFormat="1" applyFont="1" applyBorder="1" applyAlignment="1">
      <alignment horizontal="center" vertical="center"/>
    </xf>
    <xf numFmtId="166" fontId="13" fillId="0" borderId="20" xfId="1" applyNumberFormat="1" applyFont="1" applyBorder="1" applyAlignment="1">
      <alignment vertical="center"/>
    </xf>
    <xf numFmtId="165" fontId="13" fillId="0" borderId="43" xfId="31" applyNumberFormat="1" applyFont="1" applyBorder="1" applyAlignment="1">
      <alignment vertical="center"/>
    </xf>
    <xf numFmtId="0" fontId="13" fillId="2" borderId="30" xfId="1" applyFont="1" applyFill="1" applyBorder="1" applyAlignment="1">
      <alignment horizontal="center" vertical="center"/>
    </xf>
    <xf numFmtId="0" fontId="13" fillId="2" borderId="31" xfId="1" applyFont="1" applyFill="1" applyBorder="1" applyAlignment="1">
      <alignment horizontal="center" vertical="center"/>
    </xf>
    <xf numFmtId="0" fontId="13" fillId="2" borderId="32" xfId="1" applyFont="1" applyFill="1" applyBorder="1" applyAlignment="1">
      <alignment horizontal="center" vertical="center"/>
    </xf>
    <xf numFmtId="0" fontId="13" fillId="2" borderId="45" xfId="1" applyFont="1" applyFill="1" applyBorder="1" applyAlignment="1">
      <alignment horizontal="center" vertical="center"/>
    </xf>
    <xf numFmtId="165" fontId="13" fillId="2" borderId="45" xfId="1" applyNumberFormat="1" applyFont="1" applyFill="1" applyBorder="1" applyAlignment="1">
      <alignment horizontal="center" vertical="center"/>
    </xf>
    <xf numFmtId="166" fontId="13" fillId="2" borderId="46" xfId="1" applyNumberFormat="1" applyFont="1" applyFill="1" applyBorder="1" applyAlignment="1">
      <alignment vertical="center"/>
    </xf>
    <xf numFmtId="165" fontId="13" fillId="2" borderId="47" xfId="31" applyNumberFormat="1" applyFont="1" applyFill="1" applyBorder="1" applyAlignment="1">
      <alignment vertical="center"/>
    </xf>
    <xf numFmtId="0" fontId="13" fillId="2" borderId="35" xfId="1" applyFont="1" applyFill="1" applyBorder="1" applyAlignment="1">
      <alignment horizontal="center" vertical="center"/>
    </xf>
    <xf numFmtId="168" fontId="13" fillId="2" borderId="37" xfId="1" applyNumberFormat="1" applyFont="1" applyFill="1" applyBorder="1" applyAlignment="1">
      <alignment vertical="center"/>
    </xf>
    <xf numFmtId="169" fontId="13" fillId="2" borderId="37" xfId="1" applyNumberFormat="1" applyFont="1" applyFill="1" applyBorder="1" applyAlignment="1">
      <alignment vertical="center"/>
    </xf>
    <xf numFmtId="166" fontId="38" fillId="2" borderId="37" xfId="1" applyNumberFormat="1" applyFont="1" applyFill="1" applyBorder="1" applyAlignment="1">
      <alignment vertical="center"/>
    </xf>
    <xf numFmtId="165" fontId="7" fillId="2" borderId="38" xfId="31" applyNumberFormat="1" applyFont="1" applyFill="1" applyBorder="1" applyAlignment="1">
      <alignment vertical="center"/>
    </xf>
    <xf numFmtId="167" fontId="7" fillId="0" borderId="0" xfId="125" applyFont="1" applyBorder="1" applyAlignment="1">
      <alignment vertical="center"/>
    </xf>
    <xf numFmtId="165" fontId="7" fillId="0" borderId="0" xfId="31" applyNumberFormat="1" applyFont="1" applyBorder="1" applyAlignment="1">
      <alignment vertical="center"/>
    </xf>
    <xf numFmtId="167" fontId="8" fillId="0" borderId="0" xfId="62" applyNumberFormat="1" applyFont="1" applyAlignment="1">
      <alignment vertical="center"/>
    </xf>
    <xf numFmtId="0" fontId="31" fillId="0" borderId="0" xfId="1" applyFont="1" applyAlignment="1">
      <alignment horizontal="center" vertical="center"/>
    </xf>
    <xf numFmtId="165" fontId="31" fillId="0" borderId="0" xfId="31" applyNumberFormat="1" applyFont="1" applyAlignment="1">
      <alignment horizontal="center" vertical="center"/>
    </xf>
    <xf numFmtId="0" fontId="39" fillId="0" borderId="0" xfId="109" applyFont="1" applyFill="1" applyBorder="1" applyAlignment="1">
      <alignment horizontal="center" vertical="center"/>
    </xf>
    <xf numFmtId="0" fontId="39" fillId="0" borderId="0" xfId="109" applyFont="1" applyFill="1" applyBorder="1" applyAlignment="1">
      <alignment vertical="center"/>
    </xf>
    <xf numFmtId="0" fontId="39" fillId="0" borderId="0" xfId="109" applyFont="1" applyFill="1" applyBorder="1" applyAlignment="1">
      <alignment horizontal="center"/>
    </xf>
    <xf numFmtId="0" fontId="39" fillId="0" borderId="0" xfId="109" applyFont="1" applyFill="1" applyBorder="1"/>
    <xf numFmtId="0" fontId="40" fillId="0" borderId="0" xfId="1" applyFont="1" applyAlignment="1">
      <alignment horizontal="center" vertical="center"/>
    </xf>
    <xf numFmtId="0" fontId="41" fillId="0" borderId="0" xfId="109" applyFont="1" applyFill="1" applyBorder="1" applyAlignment="1">
      <alignment horizontal="center"/>
    </xf>
    <xf numFmtId="0" fontId="8" fillId="0" borderId="0" xfId="0" applyFont="1"/>
    <xf numFmtId="166" fontId="7" fillId="0" borderId="0" xfId="31" applyNumberFormat="1" applyFont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165" fontId="13" fillId="2" borderId="8" xfId="31" applyNumberFormat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3" fillId="2" borderId="14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165" fontId="13" fillId="2" borderId="16" xfId="31" applyNumberFormat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 wrapText="1"/>
    </xf>
    <xf numFmtId="0" fontId="13" fillId="2" borderId="18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13" fillId="2" borderId="20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vertical="center" wrapText="1"/>
    </xf>
    <xf numFmtId="0" fontId="13" fillId="0" borderId="40" xfId="1" applyFont="1" applyFill="1" applyBorder="1" applyAlignment="1">
      <alignment horizontal="center" vertical="center"/>
    </xf>
    <xf numFmtId="177" fontId="13" fillId="0" borderId="40" xfId="1" applyNumberFormat="1" applyFont="1" applyFill="1" applyBorder="1" applyAlignment="1">
      <alignment horizontal="center" vertical="center"/>
    </xf>
    <xf numFmtId="166" fontId="13" fillId="0" borderId="40" xfId="31" applyNumberFormat="1" applyFont="1" applyFill="1" applyBorder="1" applyAlignment="1">
      <alignment vertical="center"/>
    </xf>
    <xf numFmtId="0" fontId="8" fillId="0" borderId="0" xfId="62" applyFont="1" applyFill="1" applyBorder="1" applyAlignment="1">
      <alignment vertical="center"/>
    </xf>
    <xf numFmtId="49" fontId="13" fillId="0" borderId="18" xfId="1" applyNumberFormat="1" applyFont="1" applyFill="1" applyBorder="1" applyAlignment="1">
      <alignment horizontal="left" vertical="center"/>
    </xf>
    <xf numFmtId="0" fontId="13" fillId="0" borderId="73" xfId="1" applyNumberFormat="1" applyFont="1" applyFill="1" applyBorder="1" applyAlignment="1">
      <alignment horizontal="center" vertical="center"/>
    </xf>
    <xf numFmtId="0" fontId="13" fillId="0" borderId="73" xfId="1" applyNumberFormat="1" applyFont="1" applyFill="1" applyBorder="1" applyAlignment="1">
      <alignment horizontal="left" vertical="center"/>
    </xf>
    <xf numFmtId="49" fontId="13" fillId="0" borderId="73" xfId="1" applyNumberFormat="1" applyFont="1" applyFill="1" applyBorder="1" applyAlignment="1">
      <alignment horizontal="center" vertical="center"/>
    </xf>
    <xf numFmtId="176" fontId="13" fillId="0" borderId="73" xfId="1" applyNumberFormat="1" applyFont="1" applyFill="1" applyBorder="1" applyAlignment="1">
      <alignment horizontal="center" vertical="center"/>
    </xf>
    <xf numFmtId="166" fontId="13" fillId="0" borderId="73" xfId="1" applyNumberFormat="1" applyFont="1" applyFill="1" applyBorder="1" applyAlignment="1">
      <alignment vertical="center"/>
    </xf>
    <xf numFmtId="165" fontId="13" fillId="0" borderId="19" xfId="31" applyNumberFormat="1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left" vertical="center"/>
    </xf>
    <xf numFmtId="49" fontId="13" fillId="0" borderId="0" xfId="1" applyNumberFormat="1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>
      <alignment vertical="center"/>
    </xf>
    <xf numFmtId="165" fontId="13" fillId="0" borderId="0" xfId="31" applyNumberFormat="1" applyFont="1" applyFill="1" applyBorder="1" applyAlignment="1">
      <alignment vertical="center"/>
    </xf>
    <xf numFmtId="0" fontId="13" fillId="0" borderId="44" xfId="1" applyFont="1" applyFill="1" applyBorder="1" applyAlignment="1">
      <alignment vertical="center"/>
    </xf>
    <xf numFmtId="39" fontId="13" fillId="0" borderId="27" xfId="1" applyNumberFormat="1" applyFont="1" applyFill="1" applyBorder="1" applyAlignment="1">
      <alignment horizontal="right" vertical="center"/>
    </xf>
    <xf numFmtId="176" fontId="13" fillId="0" borderId="27" xfId="1" applyNumberFormat="1" applyFont="1" applyFill="1" applyBorder="1" applyAlignment="1">
      <alignment horizontal="center" vertical="center"/>
    </xf>
    <xf numFmtId="39" fontId="13" fillId="0" borderId="42" xfId="1" applyNumberFormat="1" applyFont="1" applyFill="1" applyBorder="1" applyAlignment="1">
      <alignment horizontal="right" vertical="center"/>
    </xf>
    <xf numFmtId="0" fontId="13" fillId="0" borderId="17" xfId="1" applyFont="1" applyBorder="1" applyAlignment="1">
      <alignment vertical="center"/>
    </xf>
    <xf numFmtId="0" fontId="13" fillId="0" borderId="18" xfId="1" applyFont="1" applyBorder="1" applyAlignment="1">
      <alignment vertical="center"/>
    </xf>
    <xf numFmtId="0" fontId="13" fillId="0" borderId="19" xfId="1" applyFont="1" applyBorder="1" applyAlignment="1">
      <alignment vertical="center"/>
    </xf>
    <xf numFmtId="165" fontId="13" fillId="0" borderId="19" xfId="1" applyNumberFormat="1" applyFont="1" applyBorder="1" applyAlignment="1">
      <alignment vertical="center"/>
    </xf>
    <xf numFmtId="0" fontId="13" fillId="0" borderId="20" xfId="1" applyFont="1" applyBorder="1" applyAlignment="1">
      <alignment vertical="center"/>
    </xf>
    <xf numFmtId="0" fontId="31" fillId="0" borderId="0" xfId="1" applyFont="1" applyAlignment="1">
      <alignment horizontal="left" vertical="center"/>
    </xf>
    <xf numFmtId="0" fontId="31" fillId="0" borderId="0" xfId="109" applyFont="1" applyFill="1" applyBorder="1"/>
    <xf numFmtId="0" fontId="31" fillId="0" borderId="0" xfId="109" applyFont="1" applyFill="1" applyBorder="1" applyAlignment="1">
      <alignment horizontal="center" vertical="center"/>
    </xf>
    <xf numFmtId="0" fontId="59" fillId="0" borderId="0" xfId="136" applyFont="1" applyAlignment="1"/>
    <xf numFmtId="0" fontId="40" fillId="0" borderId="0" xfId="109" applyFont="1" applyFill="1" applyBorder="1" applyAlignment="1">
      <alignment horizontal="center"/>
    </xf>
    <xf numFmtId="0" fontId="60" fillId="0" borderId="0" xfId="136" applyFont="1" applyAlignment="1"/>
    <xf numFmtId="0" fontId="31" fillId="0" borderId="0" xfId="109" applyFont="1" applyFill="1" applyBorder="1" applyAlignment="1">
      <alignment horizontal="center" vertical="top"/>
    </xf>
    <xf numFmtId="0" fontId="61" fillId="0" borderId="0" xfId="1" applyFont="1" applyAlignment="1">
      <alignment horizontal="center" vertical="center"/>
    </xf>
    <xf numFmtId="0" fontId="62" fillId="0" borderId="0" xfId="1" applyFont="1" applyAlignment="1">
      <alignment vertical="center"/>
    </xf>
    <xf numFmtId="164" fontId="63" fillId="0" borderId="0" xfId="1" applyNumberFormat="1" applyFont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0" borderId="49" xfId="1" applyFont="1" applyBorder="1" applyAlignment="1">
      <alignment horizontal="center" vertical="center"/>
    </xf>
    <xf numFmtId="0" fontId="13" fillId="0" borderId="50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3" fillId="0" borderId="52" xfId="1" applyFont="1" applyBorder="1" applyAlignment="1">
      <alignment horizontal="center" vertical="center"/>
    </xf>
    <xf numFmtId="0" fontId="13" fillId="2" borderId="16" xfId="1" applyFont="1" applyFill="1" applyBorder="1" applyAlignment="1">
      <alignment horizontal="center" vertical="center"/>
    </xf>
    <xf numFmtId="0" fontId="13" fillId="0" borderId="53" xfId="1" applyFont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54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36" fillId="2" borderId="22" xfId="1" applyFont="1" applyFill="1" applyBorder="1" applyAlignment="1">
      <alignment horizontal="center" vertical="center"/>
    </xf>
    <xf numFmtId="0" fontId="36" fillId="2" borderId="23" xfId="1" quotePrefix="1" applyFont="1" applyFill="1" applyBorder="1" applyAlignment="1">
      <alignment horizontal="center" vertical="center"/>
    </xf>
    <xf numFmtId="0" fontId="36" fillId="0" borderId="14" xfId="1" quotePrefix="1" applyFont="1" applyBorder="1" applyAlignment="1">
      <alignment horizontal="center" vertical="center"/>
    </xf>
    <xf numFmtId="0" fontId="36" fillId="0" borderId="15" xfId="1" quotePrefix="1" applyFont="1" applyBorder="1" applyAlignment="1">
      <alignment horizontal="center" vertical="center"/>
    </xf>
    <xf numFmtId="0" fontId="36" fillId="0" borderId="22" xfId="1" quotePrefix="1" applyFont="1" applyBorder="1" applyAlignment="1">
      <alignment horizontal="center" vertical="center"/>
    </xf>
    <xf numFmtId="0" fontId="36" fillId="0" borderId="55" xfId="1" quotePrefix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13" fillId="0" borderId="9" xfId="1" applyFont="1" applyBorder="1" applyAlignment="1">
      <alignment vertical="center"/>
    </xf>
    <xf numFmtId="0" fontId="13" fillId="0" borderId="24" xfId="1" applyFont="1" applyBorder="1" applyAlignment="1">
      <alignment horizontal="center" vertical="center"/>
    </xf>
    <xf numFmtId="0" fontId="13" fillId="0" borderId="11" xfId="1" applyFont="1" applyBorder="1" applyAlignment="1">
      <alignment vertical="center"/>
    </xf>
    <xf numFmtId="0" fontId="64" fillId="0" borderId="12" xfId="1" applyFont="1" applyBorder="1" applyAlignment="1">
      <alignment vertical="center"/>
    </xf>
    <xf numFmtId="0" fontId="13" fillId="0" borderId="12" xfId="1" applyFont="1" applyBorder="1" applyAlignment="1">
      <alignment vertical="center"/>
    </xf>
    <xf numFmtId="165" fontId="13" fillId="0" borderId="16" xfId="1" applyNumberFormat="1" applyFont="1" applyBorder="1" applyAlignment="1">
      <alignment vertical="center"/>
    </xf>
    <xf numFmtId="0" fontId="13" fillId="0" borderId="54" xfId="1" applyFont="1" applyBorder="1" applyAlignment="1">
      <alignment vertical="center"/>
    </xf>
    <xf numFmtId="176" fontId="35" fillId="0" borderId="0" xfId="1" applyNumberFormat="1" applyFont="1" applyBorder="1" applyAlignment="1">
      <alignment horizontal="center" vertical="center"/>
    </xf>
    <xf numFmtId="176" fontId="35" fillId="0" borderId="11" xfId="1" applyNumberFormat="1" applyFont="1" applyBorder="1" applyAlignment="1">
      <alignment vertical="center"/>
    </xf>
    <xf numFmtId="165" fontId="35" fillId="0" borderId="12" xfId="1" applyNumberFormat="1" applyFont="1" applyBorder="1" applyAlignment="1">
      <alignment vertical="center"/>
    </xf>
    <xf numFmtId="0" fontId="65" fillId="0" borderId="25" xfId="1" applyFont="1" applyBorder="1" applyAlignment="1">
      <alignment vertical="center" wrapText="1"/>
    </xf>
    <xf numFmtId="0" fontId="7" fillId="0" borderId="26" xfId="1" applyNumberFormat="1" applyFont="1" applyBorder="1" applyAlignment="1">
      <alignment horizontal="center" vertical="center"/>
    </xf>
    <xf numFmtId="0" fontId="7" fillId="0" borderId="27" xfId="1" applyNumberFormat="1" applyFont="1" applyBorder="1" applyAlignment="1">
      <alignment vertical="center"/>
    </xf>
    <xf numFmtId="0" fontId="7" fillId="0" borderId="28" xfId="1" applyFont="1" applyBorder="1" applyAlignment="1">
      <alignment horizontal="center" vertical="center"/>
    </xf>
    <xf numFmtId="175" fontId="7" fillId="3" borderId="42" xfId="1" applyNumberFormat="1" applyFont="1" applyFill="1" applyBorder="1" applyAlignment="1">
      <alignment horizontal="center" vertical="center"/>
    </xf>
    <xf numFmtId="165" fontId="7" fillId="3" borderId="27" xfId="1" applyNumberFormat="1" applyFont="1" applyFill="1" applyBorder="1" applyAlignment="1">
      <alignment horizontal="center" vertical="center"/>
    </xf>
    <xf numFmtId="186" fontId="38" fillId="0" borderId="40" xfId="40" applyNumberFormat="1" applyFont="1" applyFill="1" applyBorder="1"/>
    <xf numFmtId="165" fontId="7" fillId="0" borderId="29" xfId="1" applyNumberFormat="1" applyFont="1" applyBorder="1" applyAlignment="1">
      <alignment vertical="center"/>
    </xf>
    <xf numFmtId="166" fontId="13" fillId="0" borderId="61" xfId="1" applyNumberFormat="1" applyFont="1" applyBorder="1" applyAlignment="1">
      <alignment horizontal="center" vertical="center"/>
    </xf>
    <xf numFmtId="166" fontId="13" fillId="0" borderId="27" xfId="1" applyNumberFormat="1" applyFont="1" applyBorder="1" applyAlignment="1">
      <alignment vertical="center"/>
    </xf>
    <xf numFmtId="165" fontId="13" fillId="0" borderId="28" xfId="1" applyNumberFormat="1" applyFont="1" applyBorder="1" applyAlignment="1">
      <alignment vertical="center"/>
    </xf>
    <xf numFmtId="166" fontId="13" fillId="0" borderId="28" xfId="1" applyNumberFormat="1" applyFont="1" applyBorder="1" applyAlignment="1">
      <alignment vertical="center"/>
    </xf>
    <xf numFmtId="0" fontId="13" fillId="0" borderId="62" xfId="1" applyFont="1" applyBorder="1" applyAlignment="1">
      <alignment horizontal="left" vertical="center" wrapText="1"/>
    </xf>
    <xf numFmtId="49" fontId="65" fillId="0" borderId="9" xfId="1" applyNumberFormat="1" applyFont="1" applyBorder="1" applyAlignment="1">
      <alignment horizontal="left" vertical="center" indent="2"/>
    </xf>
    <xf numFmtId="165" fontId="7" fillId="3" borderId="11" xfId="1" applyNumberFormat="1" applyFont="1" applyFill="1" applyBorder="1" applyAlignment="1">
      <alignment horizontal="center" vertical="center"/>
    </xf>
    <xf numFmtId="176" fontId="7" fillId="3" borderId="11" xfId="1" applyNumberFormat="1" applyFont="1" applyFill="1" applyBorder="1" applyAlignment="1">
      <alignment horizontal="center" vertical="center"/>
    </xf>
    <xf numFmtId="167" fontId="56" fillId="0" borderId="12" xfId="1" applyNumberFormat="1" applyFont="1" applyBorder="1" applyAlignment="1">
      <alignment vertical="center"/>
    </xf>
    <xf numFmtId="167" fontId="7" fillId="0" borderId="12" xfId="1" applyNumberFormat="1" applyFont="1" applyBorder="1" applyAlignment="1">
      <alignment vertical="center"/>
    </xf>
    <xf numFmtId="166" fontId="13" fillId="0" borderId="0" xfId="1" applyNumberFormat="1" applyFont="1" applyBorder="1" applyAlignment="1">
      <alignment horizontal="center" vertical="center"/>
    </xf>
    <xf numFmtId="166" fontId="13" fillId="0" borderId="11" xfId="1" applyNumberFormat="1" applyFont="1" applyBorder="1" applyAlignment="1">
      <alignment vertical="center"/>
    </xf>
    <xf numFmtId="165" fontId="13" fillId="0" borderId="12" xfId="1" applyNumberFormat="1" applyFont="1" applyBorder="1" applyAlignment="1">
      <alignment vertical="center"/>
    </xf>
    <xf numFmtId="2" fontId="13" fillId="0" borderId="12" xfId="1" applyNumberFormat="1" applyFont="1" applyBorder="1" applyAlignment="1">
      <alignment vertical="center"/>
    </xf>
    <xf numFmtId="166" fontId="13" fillId="0" borderId="12" xfId="1" applyNumberFormat="1" applyFont="1" applyBorder="1" applyAlignment="1">
      <alignment vertical="center"/>
    </xf>
    <xf numFmtId="0" fontId="13" fillId="0" borderId="54" xfId="1" applyFont="1" applyBorder="1" applyAlignment="1">
      <alignment horizontal="left" vertical="center" wrapText="1"/>
    </xf>
    <xf numFmtId="166" fontId="56" fillId="0" borderId="12" xfId="1" applyNumberFormat="1" applyFont="1" applyBorder="1" applyAlignment="1">
      <alignment vertical="center"/>
    </xf>
    <xf numFmtId="165" fontId="13" fillId="0" borderId="10" xfId="1" applyNumberFormat="1" applyFont="1" applyBorder="1" applyAlignment="1">
      <alignment vertical="center"/>
    </xf>
    <xf numFmtId="49" fontId="65" fillId="0" borderId="9" xfId="1" applyNumberFormat="1" applyFont="1" applyBorder="1" applyAlignment="1">
      <alignment horizontal="left" vertical="center"/>
    </xf>
    <xf numFmtId="0" fontId="13" fillId="0" borderId="18" xfId="1" applyFont="1" applyBorder="1" applyAlignment="1">
      <alignment horizontal="left" vertical="center" wrapText="1"/>
    </xf>
    <xf numFmtId="0" fontId="65" fillId="0" borderId="25" xfId="1" applyFont="1" applyBorder="1" applyAlignment="1">
      <alignment vertical="center"/>
    </xf>
    <xf numFmtId="166" fontId="38" fillId="0" borderId="28" xfId="1" applyNumberFormat="1" applyFont="1" applyBorder="1" applyAlignment="1">
      <alignment vertical="center"/>
    </xf>
    <xf numFmtId="0" fontId="13" fillId="0" borderId="62" xfId="1" applyFont="1" applyBorder="1" applyAlignment="1">
      <alignment horizontal="left" vertical="center" wrapText="1"/>
    </xf>
    <xf numFmtId="0" fontId="13" fillId="0" borderId="54" xfId="1" applyFont="1" applyBorder="1" applyAlignment="1">
      <alignment horizontal="left" vertical="center" wrapText="1"/>
    </xf>
    <xf numFmtId="49" fontId="65" fillId="0" borderId="17" xfId="1" applyNumberFormat="1" applyFont="1" applyBorder="1" applyAlignment="1">
      <alignment horizontal="left" vertical="center"/>
    </xf>
    <xf numFmtId="0" fontId="7" fillId="0" borderId="18" xfId="1" applyNumberFormat="1" applyFont="1" applyBorder="1" applyAlignment="1">
      <alignment horizontal="center" vertical="center"/>
    </xf>
    <xf numFmtId="0" fontId="7" fillId="0" borderId="19" xfId="1" applyNumberFormat="1" applyFont="1" applyBorder="1" applyAlignment="1">
      <alignment horizontal="left" vertical="center"/>
    </xf>
    <xf numFmtId="165" fontId="7" fillId="3" borderId="19" xfId="1" applyNumberFormat="1" applyFont="1" applyFill="1" applyBorder="1" applyAlignment="1">
      <alignment horizontal="center" vertical="center"/>
    </xf>
    <xf numFmtId="166" fontId="13" fillId="0" borderId="73" xfId="1" applyNumberFormat="1" applyFont="1" applyBorder="1" applyAlignment="1">
      <alignment horizontal="center" vertical="center"/>
    </xf>
    <xf numFmtId="166" fontId="13" fillId="0" borderId="19" xfId="1" applyNumberFormat="1" applyFont="1" applyBorder="1" applyAlignment="1">
      <alignment vertical="center"/>
    </xf>
    <xf numFmtId="165" fontId="13" fillId="0" borderId="20" xfId="1" applyNumberFormat="1" applyFont="1" applyBorder="1" applyAlignment="1">
      <alignment vertical="center"/>
    </xf>
    <xf numFmtId="2" fontId="13" fillId="0" borderId="20" xfId="1" applyNumberFormat="1" applyFont="1" applyBorder="1" applyAlignment="1">
      <alignment vertical="center"/>
    </xf>
    <xf numFmtId="0" fontId="13" fillId="0" borderId="74" xfId="1" applyFont="1" applyBorder="1" applyAlignment="1">
      <alignment horizontal="left" vertical="center" wrapText="1"/>
    </xf>
    <xf numFmtId="0" fontId="65" fillId="0" borderId="9" xfId="1" applyFont="1" applyBorder="1" applyAlignment="1">
      <alignment vertical="center"/>
    </xf>
    <xf numFmtId="0" fontId="7" fillId="0" borderId="48" xfId="1" applyNumberFormat="1" applyFont="1" applyBorder="1" applyAlignment="1">
      <alignment horizontal="center" vertical="center"/>
    </xf>
    <xf numFmtId="0" fontId="7" fillId="0" borderId="79" xfId="1" applyNumberFormat="1" applyFont="1" applyBorder="1" applyAlignment="1">
      <alignment vertical="center"/>
    </xf>
    <xf numFmtId="0" fontId="7" fillId="0" borderId="79" xfId="1" applyFont="1" applyBorder="1" applyAlignment="1">
      <alignment horizontal="center" vertical="center"/>
    </xf>
    <xf numFmtId="166" fontId="7" fillId="3" borderId="27" xfId="1" applyNumberFormat="1" applyFont="1" applyFill="1" applyBorder="1" applyAlignment="1">
      <alignment horizontal="center" vertical="center"/>
    </xf>
    <xf numFmtId="166" fontId="38" fillId="0" borderId="80" xfId="1" applyNumberFormat="1" applyFont="1" applyBorder="1" applyAlignment="1">
      <alignment vertical="center"/>
    </xf>
    <xf numFmtId="0" fontId="7" fillId="0" borderId="27" xfId="1" applyNumberFormat="1" applyFont="1" applyBorder="1" applyAlignment="1">
      <alignment vertical="center" wrapText="1"/>
    </xf>
    <xf numFmtId="0" fontId="7" fillId="0" borderId="27" xfId="1" applyFont="1" applyBorder="1" applyAlignment="1">
      <alignment horizontal="center" vertical="center"/>
    </xf>
    <xf numFmtId="49" fontId="65" fillId="0" borderId="81" xfId="1" applyNumberFormat="1" applyFont="1" applyBorder="1" applyAlignment="1">
      <alignment horizontal="left" vertical="center"/>
    </xf>
    <xf numFmtId="0" fontId="7" fillId="0" borderId="82" xfId="1" applyNumberFormat="1" applyFont="1" applyBorder="1" applyAlignment="1">
      <alignment horizontal="center" vertical="center"/>
    </xf>
    <xf numFmtId="0" fontId="7" fillId="0" borderId="83" xfId="1" applyNumberFormat="1" applyFont="1" applyBorder="1" applyAlignment="1">
      <alignment horizontal="left" vertical="center"/>
    </xf>
    <xf numFmtId="49" fontId="7" fillId="0" borderId="83" xfId="1" applyNumberFormat="1" applyFont="1" applyBorder="1" applyAlignment="1">
      <alignment horizontal="center" vertical="center"/>
    </xf>
    <xf numFmtId="165" fontId="7" fillId="3" borderId="83" xfId="1" applyNumberFormat="1" applyFont="1" applyFill="1" applyBorder="1" applyAlignment="1">
      <alignment horizontal="center" vertical="center"/>
    </xf>
    <xf numFmtId="166" fontId="7" fillId="0" borderId="84" xfId="1" applyNumberFormat="1" applyFont="1" applyBorder="1" applyAlignment="1">
      <alignment vertical="center"/>
    </xf>
    <xf numFmtId="165" fontId="7" fillId="0" borderId="85" xfId="1" applyNumberFormat="1" applyFont="1" applyBorder="1" applyAlignment="1">
      <alignment vertical="center"/>
    </xf>
    <xf numFmtId="0" fontId="7" fillId="0" borderId="11" xfId="1" applyNumberFormat="1" applyFont="1" applyBorder="1" applyAlignment="1">
      <alignment horizontal="center" vertical="center"/>
    </xf>
    <xf numFmtId="166" fontId="38" fillId="0" borderId="84" xfId="1" applyNumberFormat="1" applyFont="1" applyBorder="1" applyAlignment="1">
      <alignment vertical="center"/>
    </xf>
    <xf numFmtId="49" fontId="65" fillId="0" borderId="17" xfId="1" quotePrefix="1" applyNumberFormat="1" applyFont="1" applyBorder="1" applyAlignment="1">
      <alignment horizontal="left" vertical="center"/>
    </xf>
    <xf numFmtId="0" fontId="56" fillId="0" borderId="10" xfId="1" applyNumberFormat="1" applyFont="1" applyBorder="1" applyAlignment="1">
      <alignment horizontal="center" vertical="center"/>
    </xf>
    <xf numFmtId="0" fontId="56" fillId="0" borderId="11" xfId="1" applyNumberFormat="1" applyFont="1" applyBorder="1" applyAlignment="1">
      <alignment horizontal="left" vertical="center"/>
    </xf>
    <xf numFmtId="0" fontId="13" fillId="0" borderId="74" xfId="1" applyFont="1" applyBorder="1" applyAlignment="1">
      <alignment horizontal="left" vertical="center" wrapText="1"/>
    </xf>
    <xf numFmtId="0" fontId="56" fillId="0" borderId="18" xfId="1" applyFont="1" applyBorder="1" applyAlignment="1">
      <alignment vertical="center"/>
    </xf>
    <xf numFmtId="0" fontId="56" fillId="0" borderId="19" xfId="1" applyFont="1" applyBorder="1" applyAlignment="1">
      <alignment vertical="center"/>
    </xf>
    <xf numFmtId="165" fontId="13" fillId="2" borderId="47" xfId="1" applyNumberFormat="1" applyFont="1" applyFill="1" applyBorder="1" applyAlignment="1">
      <alignment vertical="center"/>
    </xf>
    <xf numFmtId="166" fontId="13" fillId="0" borderId="75" xfId="1" applyNumberFormat="1" applyFont="1" applyBorder="1" applyAlignment="1">
      <alignment horizontal="center" vertical="center"/>
    </xf>
    <xf numFmtId="166" fontId="13" fillId="0" borderId="32" xfId="1" applyNumberFormat="1" applyFont="1" applyBorder="1" applyAlignment="1">
      <alignment vertical="center"/>
    </xf>
    <xf numFmtId="165" fontId="13" fillId="0" borderId="33" xfId="1" applyNumberFormat="1" applyFont="1" applyBorder="1" applyAlignment="1">
      <alignment vertical="center"/>
    </xf>
    <xf numFmtId="166" fontId="13" fillId="0" borderId="33" xfId="1" applyNumberFormat="1" applyFont="1" applyBorder="1" applyAlignment="1">
      <alignment vertical="center"/>
    </xf>
    <xf numFmtId="39" fontId="13" fillId="0" borderId="33" xfId="1" applyNumberFormat="1" applyFont="1" applyBorder="1" applyAlignment="1">
      <alignment vertical="center"/>
    </xf>
    <xf numFmtId="0" fontId="13" fillId="0" borderId="76" xfId="1" applyFont="1" applyBorder="1" applyAlignment="1">
      <alignment vertical="center"/>
    </xf>
    <xf numFmtId="166" fontId="31" fillId="0" borderId="0" xfId="1" applyNumberFormat="1" applyFont="1" applyAlignment="1">
      <alignment vertical="center"/>
    </xf>
    <xf numFmtId="166" fontId="31" fillId="0" borderId="0" xfId="1" applyNumberFormat="1" applyFont="1" applyAlignment="1">
      <alignment horizontal="center" vertical="center"/>
    </xf>
    <xf numFmtId="43" fontId="31" fillId="0" borderId="0" xfId="1" applyNumberFormat="1" applyFont="1" applyAlignment="1">
      <alignment horizontal="center" vertical="center"/>
    </xf>
    <xf numFmtId="0" fontId="66" fillId="0" borderId="0" xfId="0" applyFont="1"/>
    <xf numFmtId="166" fontId="40" fillId="0" borderId="0" xfId="1" applyNumberFormat="1" applyFont="1" applyAlignment="1">
      <alignment horizontal="center" vertical="center"/>
    </xf>
    <xf numFmtId="0" fontId="38" fillId="3" borderId="0" xfId="1" applyFont="1" applyFill="1" applyAlignment="1">
      <alignment horizontal="center" vertical="center"/>
    </xf>
    <xf numFmtId="0" fontId="8" fillId="3" borderId="0" xfId="40" applyFont="1" applyFill="1" applyAlignment="1">
      <alignment vertical="center"/>
    </xf>
    <xf numFmtId="0" fontId="8" fillId="3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left" vertical="center"/>
    </xf>
    <xf numFmtId="0" fontId="7" fillId="3" borderId="0" xfId="1" applyFont="1" applyFill="1" applyAlignment="1">
      <alignment horizontal="center" vertical="center"/>
    </xf>
    <xf numFmtId="164" fontId="63" fillId="3" borderId="0" xfId="1" applyNumberFormat="1" applyFont="1" applyFill="1" applyAlignment="1">
      <alignment horizontal="center" vertical="center"/>
    </xf>
    <xf numFmtId="0" fontId="13" fillId="3" borderId="86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3" fillId="3" borderId="7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/>
    </xf>
    <xf numFmtId="0" fontId="13" fillId="3" borderId="49" xfId="1" applyFont="1" applyFill="1" applyBorder="1" applyAlignment="1">
      <alignment horizontal="center" vertical="center"/>
    </xf>
    <xf numFmtId="0" fontId="13" fillId="3" borderId="50" xfId="1" applyFont="1" applyFill="1" applyBorder="1" applyAlignment="1">
      <alignment horizontal="center" vertical="center"/>
    </xf>
    <xf numFmtId="0" fontId="13" fillId="3" borderId="51" xfId="1" applyFont="1" applyFill="1" applyBorder="1" applyAlignment="1">
      <alignment horizontal="center" vertical="center"/>
    </xf>
    <xf numFmtId="0" fontId="13" fillId="3" borderId="52" xfId="1" applyFont="1" applyFill="1" applyBorder="1" applyAlignment="1">
      <alignment horizontal="center" vertical="center"/>
    </xf>
    <xf numFmtId="0" fontId="13" fillId="3" borderId="39" xfId="1" applyFont="1" applyFill="1" applyBorder="1" applyAlignment="1">
      <alignment horizontal="center" vertical="center" wrapText="1"/>
    </xf>
    <xf numFmtId="0" fontId="13" fillId="3" borderId="11" xfId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/>
    </xf>
    <xf numFmtId="0" fontId="13" fillId="3" borderId="13" xfId="1" applyFont="1" applyFill="1" applyBorder="1" applyAlignment="1">
      <alignment horizontal="center" vertical="center" wrapText="1"/>
    </xf>
    <xf numFmtId="0" fontId="13" fillId="3" borderId="14" xfId="1" applyFont="1" applyFill="1" applyBorder="1" applyAlignment="1">
      <alignment horizontal="center" vertical="center" wrapText="1"/>
    </xf>
    <xf numFmtId="0" fontId="13" fillId="3" borderId="87" xfId="1" applyFont="1" applyFill="1" applyBorder="1" applyAlignment="1">
      <alignment horizontal="center" vertical="center" wrapText="1"/>
    </xf>
    <xf numFmtId="0" fontId="13" fillId="3" borderId="88" xfId="1" applyFont="1" applyFill="1" applyBorder="1" applyAlignment="1">
      <alignment horizontal="center" vertical="center" wrapText="1"/>
    </xf>
    <xf numFmtId="0" fontId="13" fillId="3" borderId="16" xfId="1" applyFont="1" applyFill="1" applyBorder="1" applyAlignment="1">
      <alignment horizontal="center" vertical="center"/>
    </xf>
    <xf numFmtId="0" fontId="13" fillId="3" borderId="53" xfId="1" applyFont="1" applyFill="1" applyBorder="1" applyAlignment="1">
      <alignment horizontal="center" vertical="center"/>
    </xf>
    <xf numFmtId="0" fontId="13" fillId="3" borderId="42" xfId="1" applyFont="1" applyFill="1" applyBorder="1" applyAlignment="1">
      <alignment horizontal="center" vertical="center"/>
    </xf>
    <xf numFmtId="0" fontId="13" fillId="3" borderId="12" xfId="1" applyFont="1" applyFill="1" applyBorder="1" applyAlignment="1">
      <alignment horizontal="center" vertical="center"/>
    </xf>
    <xf numFmtId="0" fontId="13" fillId="3" borderId="54" xfId="1" applyFont="1" applyFill="1" applyBorder="1" applyAlignment="1">
      <alignment horizontal="center" vertical="center"/>
    </xf>
    <xf numFmtId="0" fontId="13" fillId="3" borderId="12" xfId="1" applyFont="1" applyFill="1" applyBorder="1" applyAlignment="1">
      <alignment horizontal="center" vertical="center" wrapText="1"/>
    </xf>
    <xf numFmtId="0" fontId="13" fillId="3" borderId="16" xfId="1" applyFont="1" applyFill="1" applyBorder="1" applyAlignment="1">
      <alignment horizontal="center" vertical="center" wrapText="1"/>
    </xf>
    <xf numFmtId="0" fontId="13" fillId="3" borderId="11" xfId="1" applyFont="1" applyFill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/>
    </xf>
    <xf numFmtId="0" fontId="13" fillId="3" borderId="89" xfId="1" applyFont="1" applyFill="1" applyBorder="1" applyAlignment="1">
      <alignment horizontal="center" vertical="center" wrapText="1"/>
    </xf>
    <xf numFmtId="0" fontId="13" fillId="3" borderId="19" xfId="1" applyFont="1" applyFill="1" applyBorder="1" applyAlignment="1">
      <alignment horizontal="center" vertical="center" wrapText="1"/>
    </xf>
    <xf numFmtId="0" fontId="13" fillId="3" borderId="18" xfId="1" applyFont="1" applyFill="1" applyBorder="1" applyAlignment="1">
      <alignment horizontal="center" vertical="center" wrapText="1"/>
    </xf>
    <xf numFmtId="0" fontId="13" fillId="3" borderId="20" xfId="1" applyFont="1" applyFill="1" applyBorder="1" applyAlignment="1">
      <alignment horizontal="center" vertical="center" wrapText="1"/>
    </xf>
    <xf numFmtId="0" fontId="13" fillId="3" borderId="11" xfId="1" applyFont="1" applyFill="1" applyBorder="1" applyAlignment="1">
      <alignment horizontal="center" vertical="center"/>
    </xf>
    <xf numFmtId="0" fontId="36" fillId="3" borderId="88" xfId="1" quotePrefix="1" applyFont="1" applyFill="1" applyBorder="1" applyAlignment="1">
      <alignment horizontal="center" vertical="center"/>
    </xf>
    <xf numFmtId="0" fontId="36" fillId="3" borderId="87" xfId="1" quotePrefix="1" applyFont="1" applyFill="1" applyBorder="1" applyAlignment="1">
      <alignment horizontal="center" vertical="center"/>
    </xf>
    <xf numFmtId="0" fontId="36" fillId="3" borderId="14" xfId="1" quotePrefix="1" applyFont="1" applyFill="1" applyBorder="1" applyAlignment="1">
      <alignment horizontal="center" vertical="center"/>
    </xf>
    <xf numFmtId="0" fontId="36" fillId="3" borderId="23" xfId="1" quotePrefix="1" applyFont="1" applyFill="1" applyBorder="1" applyAlignment="1">
      <alignment horizontal="center" vertical="center"/>
    </xf>
    <xf numFmtId="0" fontId="36" fillId="3" borderId="14" xfId="1" quotePrefix="1" applyFont="1" applyFill="1" applyBorder="1" applyAlignment="1">
      <alignment horizontal="center" vertical="center"/>
    </xf>
    <xf numFmtId="0" fontId="36" fillId="3" borderId="55" xfId="1" quotePrefix="1" applyFont="1" applyFill="1" applyBorder="1" applyAlignment="1">
      <alignment horizontal="center" vertical="center"/>
    </xf>
    <xf numFmtId="0" fontId="37" fillId="3" borderId="0" xfId="40" applyFont="1" applyFill="1" applyAlignment="1">
      <alignment vertical="center"/>
    </xf>
    <xf numFmtId="0" fontId="13" fillId="3" borderId="39" xfId="1" applyFont="1" applyFill="1" applyBorder="1" applyAlignment="1">
      <alignment vertical="center"/>
    </xf>
    <xf numFmtId="0" fontId="13" fillId="3" borderId="42" xfId="1" applyFont="1" applyFill="1" applyBorder="1" applyAlignment="1">
      <alignment vertical="center"/>
    </xf>
    <xf numFmtId="0" fontId="13" fillId="3" borderId="24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vertical="center"/>
    </xf>
    <xf numFmtId="0" fontId="13" fillId="3" borderId="90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3" fillId="3" borderId="12" xfId="1" applyFont="1" applyFill="1" applyBorder="1" applyAlignment="1">
      <alignment vertical="center"/>
    </xf>
    <xf numFmtId="165" fontId="13" fillId="3" borderId="16" xfId="1" applyNumberFormat="1" applyFont="1" applyFill="1" applyBorder="1" applyAlignment="1">
      <alignment vertical="center"/>
    </xf>
    <xf numFmtId="0" fontId="13" fillId="3" borderId="54" xfId="1" applyFont="1" applyFill="1" applyBorder="1" applyAlignment="1">
      <alignment vertical="center"/>
    </xf>
    <xf numFmtId="0" fontId="67" fillId="3" borderId="39" xfId="1" applyFont="1" applyFill="1" applyBorder="1" applyAlignment="1">
      <alignment vertical="center" wrapText="1"/>
    </xf>
    <xf numFmtId="0" fontId="35" fillId="3" borderId="12" xfId="1" applyFont="1" applyFill="1" applyBorder="1" applyAlignment="1">
      <alignment horizontal="center" vertical="center" wrapText="1"/>
    </xf>
    <xf numFmtId="0" fontId="35" fillId="3" borderId="11" xfId="1" applyFont="1" applyFill="1" applyBorder="1" applyAlignment="1">
      <alignment horizontal="center" vertical="center" wrapText="1"/>
    </xf>
    <xf numFmtId="0" fontId="35" fillId="3" borderId="90" xfId="1" applyFont="1" applyFill="1" applyBorder="1" applyAlignment="1">
      <alignment horizontal="center" vertical="center" wrapText="1"/>
    </xf>
    <xf numFmtId="0" fontId="35" fillId="3" borderId="0" xfId="1" applyFont="1" applyFill="1" applyBorder="1" applyAlignment="1">
      <alignment horizontal="center" vertical="center" wrapText="1"/>
    </xf>
    <xf numFmtId="0" fontId="35" fillId="3" borderId="9" xfId="1" applyFont="1" applyFill="1" applyBorder="1" applyAlignment="1">
      <alignment horizontal="center" vertical="center" wrapText="1"/>
    </xf>
    <xf numFmtId="166" fontId="67" fillId="3" borderId="11" xfId="1" applyNumberFormat="1" applyFont="1" applyFill="1" applyBorder="1" applyAlignment="1">
      <alignment vertical="center"/>
    </xf>
    <xf numFmtId="165" fontId="35" fillId="3" borderId="16" xfId="1" applyNumberFormat="1" applyFont="1" applyFill="1" applyBorder="1" applyAlignment="1">
      <alignment vertical="center"/>
    </xf>
    <xf numFmtId="176" fontId="35" fillId="3" borderId="0" xfId="1" applyNumberFormat="1" applyFont="1" applyFill="1" applyBorder="1" applyAlignment="1">
      <alignment horizontal="center" vertical="center"/>
    </xf>
    <xf numFmtId="176" fontId="35" fillId="3" borderId="11" xfId="1" applyNumberFormat="1" applyFont="1" applyFill="1" applyBorder="1" applyAlignment="1">
      <alignment vertical="center"/>
    </xf>
    <xf numFmtId="165" fontId="35" fillId="3" borderId="12" xfId="1" applyNumberFormat="1" applyFont="1" applyFill="1" applyBorder="1" applyAlignment="1">
      <alignment vertical="center"/>
    </xf>
    <xf numFmtId="166" fontId="8" fillId="3" borderId="0" xfId="40" applyNumberFormat="1" applyFont="1" applyFill="1" applyAlignment="1">
      <alignment vertical="center"/>
    </xf>
    <xf numFmtId="0" fontId="65" fillId="3" borderId="44" xfId="1" applyFont="1" applyFill="1" applyBorder="1" applyAlignment="1">
      <alignment vertical="center" wrapText="1"/>
    </xf>
    <xf numFmtId="0" fontId="65" fillId="3" borderId="42" xfId="1" applyFont="1" applyFill="1" applyBorder="1" applyAlignment="1">
      <alignment horizontal="center" vertical="center" wrapText="1"/>
    </xf>
    <xf numFmtId="0" fontId="65" fillId="3" borderId="26" xfId="1" applyNumberFormat="1" applyFont="1" applyFill="1" applyBorder="1" applyAlignment="1">
      <alignment horizontal="center" vertical="center"/>
    </xf>
    <xf numFmtId="0" fontId="65" fillId="3" borderId="27" xfId="1" applyNumberFormat="1" applyFont="1" applyFill="1" applyBorder="1" applyAlignment="1">
      <alignment vertical="center"/>
    </xf>
    <xf numFmtId="0" fontId="65" fillId="3" borderId="27" xfId="1" applyFont="1" applyFill="1" applyBorder="1" applyAlignment="1">
      <alignment horizontal="center" vertical="center"/>
    </xf>
    <xf numFmtId="1" fontId="65" fillId="3" borderId="28" xfId="1" applyNumberFormat="1" applyFont="1" applyFill="1" applyBorder="1" applyAlignment="1">
      <alignment horizontal="center" vertical="center"/>
    </xf>
    <xf numFmtId="1" fontId="65" fillId="3" borderId="27" xfId="1" applyNumberFormat="1" applyFont="1" applyFill="1" applyBorder="1" applyAlignment="1">
      <alignment horizontal="center" vertical="center"/>
    </xf>
    <xf numFmtId="1" fontId="65" fillId="3" borderId="61" xfId="1" applyNumberFormat="1" applyFont="1" applyFill="1" applyBorder="1" applyAlignment="1">
      <alignment horizontal="center" vertical="center"/>
    </xf>
    <xf numFmtId="1" fontId="65" fillId="3" borderId="91" xfId="1" applyNumberFormat="1" applyFont="1" applyFill="1" applyBorder="1" applyAlignment="1">
      <alignment horizontal="center" vertical="center"/>
    </xf>
    <xf numFmtId="166" fontId="67" fillId="3" borderId="92" xfId="1" applyNumberFormat="1" applyFont="1" applyFill="1" applyBorder="1" applyAlignment="1">
      <alignment vertical="center"/>
    </xf>
    <xf numFmtId="166" fontId="65" fillId="3" borderId="28" xfId="1" applyNumberFormat="1" applyFont="1" applyFill="1" applyBorder="1" applyAlignment="1">
      <alignment vertical="center"/>
    </xf>
    <xf numFmtId="165" fontId="65" fillId="3" borderId="29" xfId="1" applyNumberFormat="1" applyFont="1" applyFill="1" applyBorder="1" applyAlignment="1">
      <alignment vertical="center"/>
    </xf>
    <xf numFmtId="166" fontId="65" fillId="3" borderId="61" xfId="1" applyNumberFormat="1" applyFont="1" applyFill="1" applyBorder="1" applyAlignment="1">
      <alignment horizontal="center" vertical="center"/>
    </xf>
    <xf numFmtId="166" fontId="65" fillId="3" borderId="27" xfId="1" applyNumberFormat="1" applyFont="1" applyFill="1" applyBorder="1" applyAlignment="1">
      <alignment vertical="center"/>
    </xf>
    <xf numFmtId="165" fontId="65" fillId="3" borderId="28" xfId="1" applyNumberFormat="1" applyFont="1" applyFill="1" applyBorder="1" applyAlignment="1">
      <alignment vertical="center"/>
    </xf>
    <xf numFmtId="0" fontId="65" fillId="3" borderId="62" xfId="1" applyFont="1" applyFill="1" applyBorder="1" applyAlignment="1">
      <alignment horizontal="left" vertical="center" wrapText="1"/>
    </xf>
    <xf numFmtId="187" fontId="68" fillId="3" borderId="0" xfId="40" applyNumberFormat="1" applyFont="1" applyFill="1" applyAlignment="1">
      <alignment vertical="center"/>
    </xf>
    <xf numFmtId="166" fontId="68" fillId="3" borderId="0" xfId="40" applyNumberFormat="1" applyFont="1" applyFill="1" applyAlignment="1">
      <alignment vertical="center"/>
    </xf>
    <xf numFmtId="0" fontId="68" fillId="3" borderId="0" xfId="40" applyFont="1" applyFill="1" applyAlignment="1">
      <alignment vertical="center"/>
    </xf>
    <xf numFmtId="49" fontId="65" fillId="3" borderId="39" xfId="1" applyNumberFormat="1" applyFont="1" applyFill="1" applyBorder="1" applyAlignment="1">
      <alignment horizontal="left" vertical="center" indent="2"/>
    </xf>
    <xf numFmtId="49" fontId="65" fillId="3" borderId="11" xfId="1" applyNumberFormat="1" applyFont="1" applyFill="1" applyBorder="1" applyAlignment="1">
      <alignment horizontal="center" vertical="center"/>
    </xf>
    <xf numFmtId="0" fontId="65" fillId="3" borderId="10" xfId="1" applyNumberFormat="1" applyFont="1" applyFill="1" applyBorder="1" applyAlignment="1">
      <alignment horizontal="center" vertical="center"/>
    </xf>
    <xf numFmtId="0" fontId="65" fillId="3" borderId="11" xfId="1" applyNumberFormat="1" applyFont="1" applyFill="1" applyBorder="1" applyAlignment="1">
      <alignment horizontal="left" vertical="center"/>
    </xf>
    <xf numFmtId="165" fontId="65" fillId="3" borderId="12" xfId="1" applyNumberFormat="1" applyFont="1" applyFill="1" applyBorder="1" applyAlignment="1">
      <alignment horizontal="center" vertical="center"/>
    </xf>
    <xf numFmtId="165" fontId="65" fillId="3" borderId="11" xfId="1" applyNumberFormat="1" applyFont="1" applyFill="1" applyBorder="1" applyAlignment="1">
      <alignment horizontal="center" vertical="center"/>
    </xf>
    <xf numFmtId="165" fontId="65" fillId="3" borderId="90" xfId="1" applyNumberFormat="1" applyFont="1" applyFill="1" applyBorder="1" applyAlignment="1">
      <alignment horizontal="center" vertical="center"/>
    </xf>
    <xf numFmtId="165" fontId="65" fillId="3" borderId="0" xfId="1" applyNumberFormat="1" applyFont="1" applyFill="1" applyBorder="1" applyAlignment="1">
      <alignment horizontal="center" vertical="center"/>
    </xf>
    <xf numFmtId="165" fontId="65" fillId="3" borderId="9" xfId="1" applyNumberFormat="1" applyFont="1" applyFill="1" applyBorder="1" applyAlignment="1">
      <alignment horizontal="center" vertical="center"/>
    </xf>
    <xf numFmtId="167" fontId="65" fillId="3" borderId="11" xfId="1" applyNumberFormat="1" applyFont="1" applyFill="1" applyBorder="1" applyAlignment="1">
      <alignment vertical="center"/>
    </xf>
    <xf numFmtId="167" fontId="65" fillId="3" borderId="12" xfId="1" applyNumberFormat="1" applyFont="1" applyFill="1" applyBorder="1" applyAlignment="1">
      <alignment vertical="center"/>
    </xf>
    <xf numFmtId="165" fontId="65" fillId="3" borderId="16" xfId="1" applyNumberFormat="1" applyFont="1" applyFill="1" applyBorder="1" applyAlignment="1">
      <alignment vertical="center"/>
    </xf>
    <xf numFmtId="166" fontId="65" fillId="3" borderId="0" xfId="1" applyNumberFormat="1" applyFont="1" applyFill="1" applyBorder="1" applyAlignment="1">
      <alignment horizontal="center" vertical="center"/>
    </xf>
    <xf numFmtId="166" fontId="65" fillId="3" borderId="11" xfId="1" applyNumberFormat="1" applyFont="1" applyFill="1" applyBorder="1" applyAlignment="1">
      <alignment vertical="center"/>
    </xf>
    <xf numFmtId="165" fontId="65" fillId="3" borderId="12" xfId="1" applyNumberFormat="1" applyFont="1" applyFill="1" applyBorder="1" applyAlignment="1">
      <alignment vertical="center"/>
    </xf>
    <xf numFmtId="2" fontId="65" fillId="3" borderId="12" xfId="1" applyNumberFormat="1" applyFont="1" applyFill="1" applyBorder="1" applyAlignment="1">
      <alignment vertical="center"/>
    </xf>
    <xf numFmtId="166" fontId="65" fillId="3" borderId="12" xfId="1" applyNumberFormat="1" applyFont="1" applyFill="1" applyBorder="1" applyAlignment="1">
      <alignment vertical="center"/>
    </xf>
    <xf numFmtId="0" fontId="65" fillId="3" borderId="54" xfId="1" applyFont="1" applyFill="1" applyBorder="1" applyAlignment="1">
      <alignment horizontal="left" vertical="center" wrapText="1"/>
    </xf>
    <xf numFmtId="165" fontId="68" fillId="3" borderId="0" xfId="40" applyNumberFormat="1" applyFont="1" applyFill="1" applyAlignment="1">
      <alignment vertical="center"/>
    </xf>
    <xf numFmtId="0" fontId="65" fillId="3" borderId="11" xfId="1" applyNumberFormat="1" applyFont="1" applyFill="1" applyBorder="1" applyAlignment="1">
      <alignment horizontal="center" vertical="center"/>
    </xf>
    <xf numFmtId="165" fontId="65" fillId="3" borderId="10" xfId="1" applyNumberFormat="1" applyFont="1" applyFill="1" applyBorder="1" applyAlignment="1">
      <alignment vertical="center"/>
    </xf>
    <xf numFmtId="49" fontId="65" fillId="3" borderId="39" xfId="1" applyNumberFormat="1" applyFont="1" applyFill="1" applyBorder="1" applyAlignment="1">
      <alignment horizontal="left" vertical="center"/>
    </xf>
    <xf numFmtId="49" fontId="65" fillId="3" borderId="11" xfId="1" applyNumberFormat="1" applyFont="1" applyFill="1" applyBorder="1" applyAlignment="1">
      <alignment horizontal="left" vertical="center"/>
    </xf>
    <xf numFmtId="49" fontId="65" fillId="3" borderId="12" xfId="1" applyNumberFormat="1" applyFont="1" applyFill="1" applyBorder="1" applyAlignment="1">
      <alignment horizontal="center" vertical="center"/>
    </xf>
    <xf numFmtId="0" fontId="65" fillId="3" borderId="90" xfId="1" applyNumberFormat="1" applyFont="1" applyFill="1" applyBorder="1" applyAlignment="1">
      <alignment horizontal="center" vertical="center"/>
    </xf>
    <xf numFmtId="0" fontId="65" fillId="3" borderId="0" xfId="1" applyNumberFormat="1" applyFont="1" applyFill="1" applyBorder="1" applyAlignment="1">
      <alignment horizontal="center" vertical="center"/>
    </xf>
    <xf numFmtId="0" fontId="65" fillId="3" borderId="9" xfId="1" applyNumberFormat="1" applyFont="1" applyFill="1" applyBorder="1" applyAlignment="1">
      <alignment horizontal="center" vertical="center"/>
    </xf>
    <xf numFmtId="0" fontId="65" fillId="3" borderId="18" xfId="1" applyFont="1" applyFill="1" applyBorder="1" applyAlignment="1">
      <alignment horizontal="left" vertical="center" wrapText="1"/>
    </xf>
    <xf numFmtId="0" fontId="65" fillId="3" borderId="28" xfId="1" applyFont="1" applyFill="1" applyBorder="1" applyAlignment="1">
      <alignment horizontal="center" vertical="center"/>
    </xf>
    <xf numFmtId="2" fontId="65" fillId="3" borderId="27" xfId="1" applyNumberFormat="1" applyFont="1" applyFill="1" applyBorder="1" applyAlignment="1">
      <alignment horizontal="center" vertical="center"/>
    </xf>
    <xf numFmtId="2" fontId="65" fillId="3" borderId="93" xfId="1" quotePrefix="1" applyNumberFormat="1" applyFont="1" applyFill="1" applyBorder="1" applyAlignment="1">
      <alignment horizontal="center" vertical="center"/>
    </xf>
    <xf numFmtId="2" fontId="65" fillId="3" borderId="27" xfId="1" quotePrefix="1" applyNumberFormat="1" applyFont="1" applyFill="1" applyBorder="1" applyAlignment="1">
      <alignment horizontal="center" vertical="center"/>
    </xf>
    <xf numFmtId="166" fontId="67" fillId="3" borderId="91" xfId="1" applyNumberFormat="1" applyFont="1" applyFill="1" applyBorder="1" applyAlignment="1">
      <alignment vertical="center"/>
    </xf>
    <xf numFmtId="0" fontId="65" fillId="3" borderId="54" xfId="1" applyFont="1" applyFill="1" applyBorder="1" applyAlignment="1">
      <alignment horizontal="left" vertical="center" wrapText="1"/>
    </xf>
    <xf numFmtId="165" fontId="69" fillId="3" borderId="11" xfId="1" applyNumberFormat="1" applyFont="1" applyFill="1" applyBorder="1" applyAlignment="1">
      <alignment horizontal="center" vertical="center"/>
    </xf>
    <xf numFmtId="0" fontId="65" fillId="3" borderId="44" xfId="1" applyFont="1" applyFill="1" applyBorder="1" applyAlignment="1">
      <alignment vertical="center"/>
    </xf>
    <xf numFmtId="1" fontId="65" fillId="3" borderId="93" xfId="1" applyNumberFormat="1" applyFont="1" applyFill="1" applyBorder="1" applyAlignment="1">
      <alignment horizontal="center" vertical="center"/>
    </xf>
    <xf numFmtId="166" fontId="67" fillId="3" borderId="27" xfId="1" applyNumberFormat="1" applyFont="1" applyFill="1" applyBorder="1" applyAlignment="1">
      <alignment vertical="center"/>
    </xf>
    <xf numFmtId="0" fontId="65" fillId="3" borderId="39" xfId="1" applyFont="1" applyFill="1" applyBorder="1" applyAlignment="1">
      <alignment vertical="center"/>
    </xf>
    <xf numFmtId="0" fontId="65" fillId="3" borderId="11" xfId="1" applyFont="1" applyFill="1" applyBorder="1" applyAlignment="1">
      <alignment horizontal="center" vertical="center" wrapText="1"/>
    </xf>
    <xf numFmtId="0" fontId="65" fillId="3" borderId="11" xfId="1" applyNumberFormat="1" applyFont="1" applyFill="1" applyBorder="1" applyAlignment="1">
      <alignment vertical="center"/>
    </xf>
    <xf numFmtId="0" fontId="65" fillId="3" borderId="11" xfId="1" applyFont="1" applyFill="1" applyBorder="1" applyAlignment="1">
      <alignment horizontal="center" vertical="center"/>
    </xf>
    <xf numFmtId="0" fontId="65" fillId="3" borderId="12" xfId="1" applyFont="1" applyFill="1" applyBorder="1" applyAlignment="1">
      <alignment horizontal="center" vertical="center"/>
    </xf>
    <xf numFmtId="2" fontId="65" fillId="3" borderId="11" xfId="1" applyNumberFormat="1" applyFont="1" applyFill="1" applyBorder="1" applyAlignment="1">
      <alignment horizontal="center" vertical="center"/>
    </xf>
    <xf numFmtId="0" fontId="65" fillId="3" borderId="90" xfId="1" applyFont="1" applyFill="1" applyBorder="1" applyAlignment="1">
      <alignment horizontal="center" vertical="center"/>
    </xf>
    <xf numFmtId="1" fontId="65" fillId="3" borderId="11" xfId="1" applyNumberFormat="1" applyFont="1" applyFill="1" applyBorder="1" applyAlignment="1">
      <alignment horizontal="center" vertical="center"/>
    </xf>
    <xf numFmtId="2" fontId="65" fillId="3" borderId="0" xfId="1" applyNumberFormat="1" applyFont="1" applyFill="1" applyBorder="1" applyAlignment="1">
      <alignment horizontal="center" vertical="center"/>
    </xf>
    <xf numFmtId="0" fontId="65" fillId="3" borderId="9" xfId="1" applyFont="1" applyFill="1" applyBorder="1" applyAlignment="1">
      <alignment horizontal="center" vertical="center"/>
    </xf>
    <xf numFmtId="2" fontId="65" fillId="3" borderId="9" xfId="1" applyNumberFormat="1" applyFont="1" applyFill="1" applyBorder="1" applyAlignment="1">
      <alignment horizontal="center" vertical="center"/>
    </xf>
    <xf numFmtId="2" fontId="65" fillId="3" borderId="90" xfId="1" applyNumberFormat="1" applyFont="1" applyFill="1" applyBorder="1" applyAlignment="1">
      <alignment horizontal="center" vertical="center"/>
    </xf>
    <xf numFmtId="0" fontId="65" fillId="3" borderId="10" xfId="1" applyFont="1" applyFill="1" applyBorder="1" applyAlignment="1">
      <alignment horizontal="left" vertical="center" wrapText="1"/>
    </xf>
    <xf numFmtId="49" fontId="65" fillId="3" borderId="94" xfId="1" applyNumberFormat="1" applyFont="1" applyFill="1" applyBorder="1" applyAlignment="1">
      <alignment horizontal="left" vertical="center"/>
    </xf>
    <xf numFmtId="49" fontId="65" fillId="3" borderId="83" xfId="1" applyNumberFormat="1" applyFont="1" applyFill="1" applyBorder="1" applyAlignment="1">
      <alignment horizontal="left" vertical="center"/>
    </xf>
    <xf numFmtId="0" fontId="65" fillId="3" borderId="82" xfId="1" applyNumberFormat="1" applyFont="1" applyFill="1" applyBorder="1" applyAlignment="1">
      <alignment horizontal="center" vertical="center"/>
    </xf>
    <xf numFmtId="0" fontId="65" fillId="3" borderId="83" xfId="1" applyNumberFormat="1" applyFont="1" applyFill="1" applyBorder="1" applyAlignment="1">
      <alignment horizontal="left" vertical="center"/>
    </xf>
    <xf numFmtId="49" fontId="65" fillId="3" borderId="83" xfId="1" applyNumberFormat="1" applyFont="1" applyFill="1" applyBorder="1" applyAlignment="1">
      <alignment horizontal="center" vertical="center"/>
    </xf>
    <xf numFmtId="49" fontId="65" fillId="3" borderId="84" xfId="1" applyNumberFormat="1" applyFont="1" applyFill="1" applyBorder="1" applyAlignment="1">
      <alignment horizontal="center" vertical="center"/>
    </xf>
    <xf numFmtId="0" fontId="65" fillId="3" borderId="83" xfId="1" applyNumberFormat="1" applyFont="1" applyFill="1" applyBorder="1" applyAlignment="1">
      <alignment horizontal="center" vertical="center"/>
    </xf>
    <xf numFmtId="0" fontId="65" fillId="3" borderId="95" xfId="1" applyNumberFormat="1" applyFont="1" applyFill="1" applyBorder="1" applyAlignment="1">
      <alignment horizontal="center" vertical="center"/>
    </xf>
    <xf numFmtId="0" fontId="65" fillId="3" borderId="96" xfId="1" applyNumberFormat="1" applyFont="1" applyFill="1" applyBorder="1" applyAlignment="1">
      <alignment horizontal="center" vertical="center"/>
    </xf>
    <xf numFmtId="0" fontId="65" fillId="3" borderId="81" xfId="1" applyNumberFormat="1" applyFont="1" applyFill="1" applyBorder="1" applyAlignment="1">
      <alignment horizontal="center" vertical="center"/>
    </xf>
    <xf numFmtId="166" fontId="65" fillId="3" borderId="83" xfId="1" applyNumberFormat="1" applyFont="1" applyFill="1" applyBorder="1" applyAlignment="1">
      <alignment vertical="center"/>
    </xf>
    <xf numFmtId="166" fontId="65" fillId="3" borderId="84" xfId="1" applyNumberFormat="1" applyFont="1" applyFill="1" applyBorder="1" applyAlignment="1">
      <alignment vertical="center"/>
    </xf>
    <xf numFmtId="165" fontId="65" fillId="3" borderId="85" xfId="1" applyNumberFormat="1" applyFont="1" applyFill="1" applyBorder="1" applyAlignment="1">
      <alignment vertical="center"/>
    </xf>
    <xf numFmtId="0" fontId="65" fillId="3" borderId="48" xfId="1" applyNumberFormat="1" applyFont="1" applyFill="1" applyBorder="1" applyAlignment="1">
      <alignment horizontal="center" vertical="center"/>
    </xf>
    <xf numFmtId="0" fontId="65" fillId="3" borderId="79" xfId="1" applyNumberFormat="1" applyFont="1" applyFill="1" applyBorder="1" applyAlignment="1">
      <alignment vertical="center"/>
    </xf>
    <xf numFmtId="0" fontId="65" fillId="3" borderId="79" xfId="1" applyFont="1" applyFill="1" applyBorder="1" applyAlignment="1">
      <alignment horizontal="center" vertical="center"/>
    </xf>
    <xf numFmtId="166" fontId="67" fillId="3" borderId="79" xfId="1" applyNumberFormat="1" applyFont="1" applyFill="1" applyBorder="1" applyAlignment="1">
      <alignment vertical="center"/>
    </xf>
    <xf numFmtId="166" fontId="65" fillId="3" borderId="80" xfId="1" applyNumberFormat="1" applyFont="1" applyFill="1" applyBorder="1" applyAlignment="1">
      <alignment vertical="center"/>
    </xf>
    <xf numFmtId="165" fontId="65" fillId="3" borderId="97" xfId="1" applyNumberFormat="1" applyFont="1" applyFill="1" applyBorder="1" applyAlignment="1">
      <alignment vertical="center"/>
    </xf>
    <xf numFmtId="0" fontId="65" fillId="3" borderId="0" xfId="1" applyFont="1" applyFill="1" applyBorder="1" applyAlignment="1">
      <alignment horizontal="center" vertical="center"/>
    </xf>
    <xf numFmtId="49" fontId="65" fillId="3" borderId="89" xfId="1" applyNumberFormat="1" applyFont="1" applyFill="1" applyBorder="1" applyAlignment="1">
      <alignment horizontal="left" vertical="center"/>
    </xf>
    <xf numFmtId="49" fontId="65" fillId="3" borderId="19" xfId="1" applyNumberFormat="1" applyFont="1" applyFill="1" applyBorder="1" applyAlignment="1">
      <alignment horizontal="left" vertical="center"/>
    </xf>
    <xf numFmtId="0" fontId="65" fillId="3" borderId="18" xfId="1" applyNumberFormat="1" applyFont="1" applyFill="1" applyBorder="1" applyAlignment="1">
      <alignment horizontal="center" vertical="center"/>
    </xf>
    <xf numFmtId="0" fontId="65" fillId="3" borderId="19" xfId="1" applyNumberFormat="1" applyFont="1" applyFill="1" applyBorder="1" applyAlignment="1">
      <alignment horizontal="left" vertical="center"/>
    </xf>
    <xf numFmtId="49" fontId="65" fillId="3" borderId="19" xfId="1" applyNumberFormat="1" applyFont="1" applyFill="1" applyBorder="1" applyAlignment="1">
      <alignment horizontal="center" vertical="center"/>
    </xf>
    <xf numFmtId="49" fontId="65" fillId="3" borderId="20" xfId="1" applyNumberFormat="1" applyFont="1" applyFill="1" applyBorder="1" applyAlignment="1">
      <alignment horizontal="center" vertical="center"/>
    </xf>
    <xf numFmtId="0" fontId="65" fillId="3" borderId="19" xfId="1" applyNumberFormat="1" applyFont="1" applyFill="1" applyBorder="1" applyAlignment="1">
      <alignment horizontal="center" vertical="center"/>
    </xf>
    <xf numFmtId="0" fontId="65" fillId="3" borderId="98" xfId="1" applyNumberFormat="1" applyFont="1" applyFill="1" applyBorder="1" applyAlignment="1">
      <alignment horizontal="center" vertical="center"/>
    </xf>
    <xf numFmtId="0" fontId="65" fillId="3" borderId="73" xfId="1" applyNumberFormat="1" applyFont="1" applyFill="1" applyBorder="1" applyAlignment="1">
      <alignment horizontal="center" vertical="center"/>
    </xf>
    <xf numFmtId="0" fontId="65" fillId="3" borderId="17" xfId="1" applyNumberFormat="1" applyFont="1" applyFill="1" applyBorder="1" applyAlignment="1">
      <alignment horizontal="center" vertical="center"/>
    </xf>
    <xf numFmtId="166" fontId="65" fillId="3" borderId="19" xfId="1" applyNumberFormat="1" applyFont="1" applyFill="1" applyBorder="1" applyAlignment="1">
      <alignment vertical="center"/>
    </xf>
    <xf numFmtId="166" fontId="65" fillId="3" borderId="20" xfId="1" applyNumberFormat="1" applyFont="1" applyFill="1" applyBorder="1" applyAlignment="1">
      <alignment vertical="center"/>
    </xf>
    <xf numFmtId="165" fontId="65" fillId="3" borderId="43" xfId="1" applyNumberFormat="1" applyFont="1" applyFill="1" applyBorder="1" applyAlignment="1">
      <alignment vertical="center"/>
    </xf>
    <xf numFmtId="0" fontId="13" fillId="3" borderId="99" xfId="1" applyFont="1" applyFill="1" applyBorder="1" applyAlignment="1">
      <alignment horizontal="center" vertical="center"/>
    </xf>
    <xf numFmtId="0" fontId="13" fillId="3" borderId="100" xfId="1" applyFont="1" applyFill="1" applyBorder="1" applyAlignment="1">
      <alignment horizontal="center" vertical="center"/>
    </xf>
    <xf numFmtId="0" fontId="13" fillId="3" borderId="45" xfId="1" applyFont="1" applyFill="1" applyBorder="1" applyAlignment="1">
      <alignment horizontal="center" vertical="center"/>
    </xf>
    <xf numFmtId="165" fontId="13" fillId="3" borderId="46" xfId="1" applyNumberFormat="1" applyFont="1" applyFill="1" applyBorder="1" applyAlignment="1">
      <alignment horizontal="center" vertical="center"/>
    </xf>
    <xf numFmtId="165" fontId="13" fillId="3" borderId="101" xfId="1" applyNumberFormat="1" applyFont="1" applyFill="1" applyBorder="1" applyAlignment="1">
      <alignment horizontal="center" vertical="center"/>
    </xf>
    <xf numFmtId="165" fontId="13" fillId="3" borderId="102" xfId="1" applyNumberFormat="1" applyFont="1" applyFill="1" applyBorder="1" applyAlignment="1">
      <alignment horizontal="center" vertical="center"/>
    </xf>
    <xf numFmtId="165" fontId="13" fillId="3" borderId="103" xfId="1" applyNumberFormat="1" applyFont="1" applyFill="1" applyBorder="1" applyAlignment="1">
      <alignment horizontal="center" vertical="center"/>
    </xf>
    <xf numFmtId="166" fontId="13" fillId="3" borderId="45" xfId="1" applyNumberFormat="1" applyFont="1" applyFill="1" applyBorder="1" applyAlignment="1">
      <alignment vertical="center"/>
    </xf>
    <xf numFmtId="165" fontId="13" fillId="3" borderId="47" xfId="1" applyNumberFormat="1" applyFont="1" applyFill="1" applyBorder="1" applyAlignment="1">
      <alignment vertical="center"/>
    </xf>
    <xf numFmtId="166" fontId="13" fillId="3" borderId="75" xfId="1" applyNumberFormat="1" applyFont="1" applyFill="1" applyBorder="1" applyAlignment="1">
      <alignment horizontal="center" vertical="center"/>
    </xf>
    <xf numFmtId="166" fontId="13" fillId="3" borderId="32" xfId="1" applyNumberFormat="1" applyFont="1" applyFill="1" applyBorder="1" applyAlignment="1">
      <alignment vertical="center"/>
    </xf>
    <xf numFmtId="165" fontId="13" fillId="3" borderId="33" xfId="1" applyNumberFormat="1" applyFont="1" applyFill="1" applyBorder="1" applyAlignment="1">
      <alignment vertical="center"/>
    </xf>
    <xf numFmtId="166" fontId="13" fillId="3" borderId="33" xfId="1" applyNumberFormat="1" applyFont="1" applyFill="1" applyBorder="1" applyAlignment="1">
      <alignment vertical="center"/>
    </xf>
    <xf numFmtId="39" fontId="13" fillId="3" borderId="33" xfId="1" applyNumberFormat="1" applyFont="1" applyFill="1" applyBorder="1" applyAlignment="1">
      <alignment vertical="center"/>
    </xf>
    <xf numFmtId="0" fontId="13" fillId="3" borderId="76" xfId="1" applyFont="1" applyFill="1" applyBorder="1" applyAlignment="1">
      <alignment vertical="center"/>
    </xf>
    <xf numFmtId="0" fontId="13" fillId="3" borderId="104" xfId="1" applyFont="1" applyFill="1" applyBorder="1" applyAlignment="1">
      <alignment horizontal="center" vertical="center"/>
    </xf>
    <xf numFmtId="0" fontId="13" fillId="3" borderId="105" xfId="1" applyFont="1" applyFill="1" applyBorder="1" applyAlignment="1">
      <alignment horizontal="center" vertical="center"/>
    </xf>
    <xf numFmtId="0" fontId="7" fillId="3" borderId="106" xfId="1" applyFont="1" applyFill="1" applyBorder="1" applyAlignment="1">
      <alignment vertical="center"/>
    </xf>
    <xf numFmtId="168" fontId="13" fillId="3" borderId="37" xfId="1" applyNumberFormat="1" applyFont="1" applyFill="1" applyBorder="1" applyAlignment="1">
      <alignment horizontal="center" vertical="center"/>
    </xf>
    <xf numFmtId="168" fontId="13" fillId="3" borderId="38" xfId="1" applyNumberFormat="1" applyFont="1" applyFill="1" applyBorder="1" applyAlignment="1">
      <alignment horizontal="center" vertical="center"/>
    </xf>
    <xf numFmtId="168" fontId="13" fillId="3" borderId="105" xfId="1" applyNumberFormat="1" applyFont="1" applyFill="1" applyBorder="1" applyAlignment="1">
      <alignment horizontal="center" vertical="center"/>
    </xf>
    <xf numFmtId="168" fontId="13" fillId="3" borderId="106" xfId="1" applyNumberFormat="1" applyFont="1" applyFill="1" applyBorder="1" applyAlignment="1">
      <alignment horizontal="center" vertical="center"/>
    </xf>
    <xf numFmtId="168" fontId="13" fillId="3" borderId="35" xfId="1" applyNumberFormat="1" applyFont="1" applyFill="1" applyBorder="1" applyAlignment="1">
      <alignment horizontal="center" vertical="center"/>
    </xf>
    <xf numFmtId="0" fontId="7" fillId="3" borderId="105" xfId="1" applyFont="1" applyFill="1" applyBorder="1" applyAlignment="1">
      <alignment vertical="center"/>
    </xf>
    <xf numFmtId="165" fontId="7" fillId="3" borderId="38" xfId="1" applyNumberFormat="1" applyFont="1" applyFill="1" applyBorder="1" applyAlignment="1">
      <alignment vertical="center"/>
    </xf>
    <xf numFmtId="0" fontId="7" fillId="3" borderId="77" xfId="1" applyFont="1" applyFill="1" applyBorder="1" applyAlignment="1">
      <alignment horizontal="center" vertical="center"/>
    </xf>
    <xf numFmtId="0" fontId="7" fillId="3" borderId="78" xfId="1" applyFont="1" applyFill="1" applyBorder="1" applyAlignment="1">
      <alignment vertical="center"/>
    </xf>
    <xf numFmtId="0" fontId="8" fillId="3" borderId="78" xfId="1" applyFont="1" applyFill="1" applyBorder="1" applyAlignment="1">
      <alignment vertical="center"/>
    </xf>
    <xf numFmtId="168" fontId="13" fillId="3" borderId="0" xfId="1" applyNumberFormat="1" applyFont="1" applyFill="1" applyBorder="1" applyAlignment="1">
      <alignment horizontal="center" vertical="center"/>
    </xf>
    <xf numFmtId="165" fontId="7" fillId="3" borderId="0" xfId="1" applyNumberFormat="1" applyFont="1" applyFill="1" applyBorder="1" applyAlignment="1">
      <alignment vertical="center"/>
    </xf>
    <xf numFmtId="0" fontId="7" fillId="3" borderId="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vertical="center"/>
    </xf>
    <xf numFmtId="0" fontId="65" fillId="3" borderId="0" xfId="1" applyFont="1" applyFill="1" applyAlignment="1">
      <alignment vertical="center"/>
    </xf>
    <xf numFmtId="49" fontId="65" fillId="3" borderId="0" xfId="1" applyNumberFormat="1" applyFont="1" applyFill="1" applyBorder="1" applyAlignment="1" applyProtection="1">
      <alignment vertical="center"/>
      <protection locked="0"/>
    </xf>
    <xf numFmtId="49" fontId="65" fillId="3" borderId="0" xfId="1" applyNumberFormat="1" applyFont="1" applyFill="1" applyAlignment="1" applyProtection="1">
      <alignment horizontal="center" vertical="center"/>
      <protection locked="0"/>
    </xf>
    <xf numFmtId="0" fontId="65" fillId="3" borderId="0" xfId="1" applyFont="1" applyFill="1" applyAlignment="1">
      <alignment horizontal="center" vertical="center"/>
    </xf>
    <xf numFmtId="0" fontId="65" fillId="3" borderId="0" xfId="40" applyFont="1" applyFill="1" applyAlignment="1">
      <alignment vertical="center"/>
    </xf>
    <xf numFmtId="166" fontId="65" fillId="3" borderId="0" xfId="1" applyNumberFormat="1" applyFont="1" applyFill="1" applyAlignment="1">
      <alignment vertical="center"/>
    </xf>
    <xf numFmtId="166" fontId="65" fillId="3" borderId="0" xfId="1" applyNumberFormat="1" applyFont="1" applyFill="1" applyBorder="1" applyAlignment="1">
      <alignment vertical="center"/>
    </xf>
    <xf numFmtId="166" fontId="65" fillId="3" borderId="0" xfId="1" applyNumberFormat="1" applyFont="1" applyFill="1" applyAlignment="1">
      <alignment horizontal="center" vertical="center"/>
    </xf>
    <xf numFmtId="167" fontId="65" fillId="3" borderId="0" xfId="1" applyNumberFormat="1" applyFont="1" applyFill="1" applyBorder="1" applyAlignment="1">
      <alignment vertical="center"/>
    </xf>
    <xf numFmtId="166" fontId="67" fillId="3" borderId="0" xfId="1" applyNumberFormat="1" applyFont="1" applyFill="1" applyAlignment="1">
      <alignment horizontal="center" vertical="center"/>
    </xf>
    <xf numFmtId="0" fontId="70" fillId="3" borderId="0" xfId="1" applyFont="1" applyFill="1" applyAlignment="1">
      <alignment horizontal="center" vertical="center"/>
    </xf>
    <xf numFmtId="166" fontId="70" fillId="3" borderId="0" xfId="1" applyNumberFormat="1" applyFont="1" applyFill="1" applyAlignment="1">
      <alignment horizontal="center" vertical="center"/>
    </xf>
    <xf numFmtId="0" fontId="65" fillId="3" borderId="0" xfId="1" applyFont="1" applyFill="1" applyAlignment="1">
      <alignment horizontal="left" vertical="center"/>
    </xf>
    <xf numFmtId="0" fontId="65" fillId="3" borderId="0" xfId="40" applyFont="1" applyFill="1" applyAlignment="1">
      <alignment horizontal="center" vertical="center"/>
    </xf>
    <xf numFmtId="0" fontId="8" fillId="3" borderId="0" xfId="40" applyFont="1" applyFill="1" applyAlignment="1">
      <alignment horizontal="center" vertical="center"/>
    </xf>
    <xf numFmtId="0" fontId="39" fillId="3" borderId="0" xfId="40" applyFont="1" applyFill="1"/>
    <xf numFmtId="0" fontId="71" fillId="3" borderId="0" xfId="40" applyFont="1" applyFill="1" applyAlignment="1">
      <alignment vertical="center"/>
    </xf>
    <xf numFmtId="0" fontId="8" fillId="3" borderId="0" xfId="40" quotePrefix="1" applyFont="1" applyFill="1" applyAlignment="1">
      <alignment vertical="center"/>
    </xf>
    <xf numFmtId="0" fontId="8" fillId="3" borderId="53" xfId="40" applyFont="1" applyFill="1" applyBorder="1" applyAlignment="1">
      <alignment vertical="center"/>
    </xf>
    <xf numFmtId="0" fontId="7" fillId="0" borderId="0" xfId="1" applyFont="1" applyAlignment="1">
      <alignment horizontal="left" vertical="center"/>
    </xf>
    <xf numFmtId="189" fontId="7" fillId="0" borderId="0" xfId="1" applyNumberFormat="1" applyFont="1" applyAlignment="1">
      <alignment horizontal="left" vertical="center"/>
    </xf>
    <xf numFmtId="0" fontId="13" fillId="2" borderId="86" xfId="1" applyFont="1" applyFill="1" applyBorder="1" applyAlignment="1">
      <alignment horizontal="center" vertical="center" wrapText="1"/>
    </xf>
    <xf numFmtId="0" fontId="13" fillId="2" borderId="39" xfId="1" applyFont="1" applyFill="1" applyBorder="1" applyAlignment="1">
      <alignment horizontal="center" vertical="center" wrapText="1"/>
    </xf>
    <xf numFmtId="0" fontId="13" fillId="2" borderId="87" xfId="1" applyFont="1" applyFill="1" applyBorder="1" applyAlignment="1">
      <alignment horizontal="center" vertical="center" wrapText="1"/>
    </xf>
    <xf numFmtId="0" fontId="13" fillId="2" borderId="88" xfId="1" applyFont="1" applyFill="1" applyBorder="1" applyAlignment="1">
      <alignment horizontal="center" vertical="center" wrapText="1"/>
    </xf>
    <xf numFmtId="0" fontId="13" fillId="2" borderId="16" xfId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89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/>
    </xf>
    <xf numFmtId="0" fontId="36" fillId="2" borderId="88" xfId="1" quotePrefix="1" applyFont="1" applyFill="1" applyBorder="1" applyAlignment="1">
      <alignment horizontal="center" vertical="center"/>
    </xf>
    <xf numFmtId="0" fontId="36" fillId="2" borderId="87" xfId="1" quotePrefix="1" applyFont="1" applyFill="1" applyBorder="1" applyAlignment="1">
      <alignment horizontal="center" vertical="center"/>
    </xf>
    <xf numFmtId="0" fontId="36" fillId="2" borderId="14" xfId="1" quotePrefix="1" applyFont="1" applyFill="1" applyBorder="1" applyAlignment="1">
      <alignment horizontal="center" vertical="center"/>
    </xf>
    <xf numFmtId="0" fontId="13" fillId="0" borderId="39" xfId="1" applyFont="1" applyBorder="1" applyAlignment="1">
      <alignment vertical="center"/>
    </xf>
    <xf numFmtId="0" fontId="13" fillId="0" borderId="42" xfId="1" applyFont="1" applyBorder="1" applyAlignment="1">
      <alignment vertical="center"/>
    </xf>
    <xf numFmtId="0" fontId="13" fillId="0" borderId="90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67" fillId="0" borderId="39" xfId="1" applyFont="1" applyBorder="1" applyAlignment="1">
      <alignment vertical="center" wrapText="1"/>
    </xf>
    <xf numFmtId="0" fontId="35" fillId="0" borderId="12" xfId="1" applyFont="1" applyBorder="1" applyAlignment="1">
      <alignment horizontal="center" vertical="center" wrapText="1"/>
    </xf>
    <xf numFmtId="0" fontId="35" fillId="0" borderId="11" xfId="1" applyFont="1" applyBorder="1" applyAlignment="1">
      <alignment horizontal="center" vertical="center" wrapText="1"/>
    </xf>
    <xf numFmtId="0" fontId="35" fillId="0" borderId="90" xfId="1" applyFont="1" applyBorder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5" fillId="0" borderId="9" xfId="1" applyFont="1" applyBorder="1" applyAlignment="1">
      <alignment horizontal="center" vertical="center" wrapText="1"/>
    </xf>
    <xf numFmtId="166" fontId="67" fillId="0" borderId="11" xfId="1" applyNumberFormat="1" applyFont="1" applyBorder="1" applyAlignment="1">
      <alignment vertical="center"/>
    </xf>
    <xf numFmtId="165" fontId="35" fillId="0" borderId="16" xfId="1" applyNumberFormat="1" applyFont="1" applyBorder="1" applyAlignment="1">
      <alignment vertical="center"/>
    </xf>
    <xf numFmtId="166" fontId="8" fillId="0" borderId="0" xfId="40" applyNumberFormat="1" applyFont="1" applyAlignment="1">
      <alignment vertical="center"/>
    </xf>
    <xf numFmtId="0" fontId="68" fillId="0" borderId="0" xfId="40" applyFont="1" applyAlignment="1">
      <alignment vertical="center"/>
    </xf>
    <xf numFmtId="0" fontId="65" fillId="0" borderId="44" xfId="1" applyFont="1" applyBorder="1" applyAlignment="1">
      <alignment vertical="center" wrapText="1"/>
    </xf>
    <xf numFmtId="0" fontId="65" fillId="0" borderId="42" xfId="1" applyFont="1" applyBorder="1" applyAlignment="1">
      <alignment horizontal="center" vertical="center" wrapText="1"/>
    </xf>
    <xf numFmtId="0" fontId="65" fillId="0" borderId="26" xfId="1" applyNumberFormat="1" applyFont="1" applyBorder="1" applyAlignment="1">
      <alignment horizontal="center" vertical="center" wrapText="1"/>
    </xf>
    <xf numFmtId="0" fontId="65" fillId="0" borderId="27" xfId="1" applyNumberFormat="1" applyFont="1" applyBorder="1" applyAlignment="1">
      <alignment vertical="center" wrapText="1"/>
    </xf>
    <xf numFmtId="0" fontId="65" fillId="0" borderId="27" xfId="1" applyFont="1" applyBorder="1" applyAlignment="1">
      <alignment horizontal="center" vertical="center" wrapText="1"/>
    </xf>
    <xf numFmtId="2" fontId="65" fillId="0" borderId="28" xfId="1" applyNumberFormat="1" applyFont="1" applyFill="1" applyBorder="1" applyAlignment="1">
      <alignment horizontal="center" vertical="center" wrapText="1"/>
    </xf>
    <xf numFmtId="2" fontId="65" fillId="0" borderId="27" xfId="1" applyNumberFormat="1" applyFont="1" applyFill="1" applyBorder="1" applyAlignment="1">
      <alignment horizontal="center" vertical="center" wrapText="1"/>
    </xf>
    <xf numFmtId="2" fontId="65" fillId="0" borderId="61" xfId="1" applyNumberFormat="1" applyFont="1" applyFill="1" applyBorder="1" applyAlignment="1">
      <alignment horizontal="center" vertical="center" wrapText="1"/>
    </xf>
    <xf numFmtId="2" fontId="65" fillId="0" borderId="91" xfId="1" applyNumberFormat="1" applyFont="1" applyFill="1" applyBorder="1" applyAlignment="1">
      <alignment horizontal="center" vertical="center" wrapText="1"/>
    </xf>
    <xf numFmtId="166" fontId="67" fillId="0" borderId="92" xfId="1" applyNumberFormat="1" applyFont="1" applyBorder="1" applyAlignment="1">
      <alignment vertical="center" wrapText="1"/>
    </xf>
    <xf numFmtId="166" fontId="65" fillId="0" borderId="28" xfId="1" applyNumberFormat="1" applyFont="1" applyBorder="1" applyAlignment="1">
      <alignment vertical="center" wrapText="1"/>
    </xf>
    <xf numFmtId="165" fontId="65" fillId="0" borderId="29" xfId="1" applyNumberFormat="1" applyFont="1" applyBorder="1" applyAlignment="1">
      <alignment vertical="center" wrapText="1"/>
    </xf>
    <xf numFmtId="166" fontId="65" fillId="0" borderId="61" xfId="1" applyNumberFormat="1" applyFont="1" applyBorder="1" applyAlignment="1">
      <alignment horizontal="center" vertical="center"/>
    </xf>
    <xf numFmtId="166" fontId="65" fillId="0" borderId="27" xfId="1" applyNumberFormat="1" applyFont="1" applyBorder="1" applyAlignment="1">
      <alignment vertical="center"/>
    </xf>
    <xf numFmtId="165" fontId="65" fillId="0" borderId="28" xfId="1" applyNumberFormat="1" applyFont="1" applyBorder="1" applyAlignment="1">
      <alignment vertical="center"/>
    </xf>
    <xf numFmtId="166" fontId="65" fillId="0" borderId="28" xfId="1" applyNumberFormat="1" applyFont="1" applyBorder="1" applyAlignment="1">
      <alignment vertical="center"/>
    </xf>
    <xf numFmtId="0" fontId="65" fillId="0" borderId="62" xfId="1" applyFont="1" applyBorder="1" applyAlignment="1">
      <alignment horizontal="left" vertical="center" wrapText="1"/>
    </xf>
    <xf numFmtId="187" fontId="68" fillId="0" borderId="0" xfId="40" applyNumberFormat="1" applyFont="1" applyAlignment="1">
      <alignment vertical="center"/>
    </xf>
    <xf numFmtId="166" fontId="68" fillId="0" borderId="0" xfId="40" applyNumberFormat="1" applyFont="1" applyAlignment="1">
      <alignment vertical="center"/>
    </xf>
    <xf numFmtId="49" fontId="65" fillId="0" borderId="39" xfId="1" applyNumberFormat="1" applyFont="1" applyBorder="1" applyAlignment="1">
      <alignment horizontal="left" vertical="center" wrapText="1"/>
    </xf>
    <xf numFmtId="49" fontId="65" fillId="0" borderId="11" xfId="1" applyNumberFormat="1" applyFont="1" applyBorder="1" applyAlignment="1">
      <alignment horizontal="center" vertical="center" wrapText="1"/>
    </xf>
    <xf numFmtId="0" fontId="65" fillId="0" borderId="10" xfId="1" applyNumberFormat="1" applyFont="1" applyBorder="1" applyAlignment="1">
      <alignment horizontal="center" vertical="center" wrapText="1"/>
    </xf>
    <xf numFmtId="0" fontId="65" fillId="0" borderId="11" xfId="1" applyNumberFormat="1" applyFont="1" applyBorder="1" applyAlignment="1">
      <alignment horizontal="left" vertical="center" wrapText="1"/>
    </xf>
    <xf numFmtId="165" fontId="65" fillId="0" borderId="12" xfId="1" applyNumberFormat="1" applyFont="1" applyBorder="1" applyAlignment="1">
      <alignment horizontal="center" vertical="center" wrapText="1"/>
    </xf>
    <xf numFmtId="165" fontId="65" fillId="0" borderId="11" xfId="1" applyNumberFormat="1" applyFont="1" applyBorder="1" applyAlignment="1">
      <alignment horizontal="center" vertical="center" wrapText="1"/>
    </xf>
    <xf numFmtId="165" fontId="65" fillId="0" borderId="90" xfId="1" applyNumberFormat="1" applyFont="1" applyBorder="1" applyAlignment="1">
      <alignment horizontal="center" vertical="center" wrapText="1"/>
    </xf>
    <xf numFmtId="165" fontId="65" fillId="0" borderId="0" xfId="1" applyNumberFormat="1" applyFont="1" applyBorder="1" applyAlignment="1">
      <alignment horizontal="center" vertical="center" wrapText="1"/>
    </xf>
    <xf numFmtId="165" fontId="65" fillId="0" borderId="9" xfId="1" applyNumberFormat="1" applyFont="1" applyBorder="1" applyAlignment="1">
      <alignment horizontal="center" vertical="center" wrapText="1"/>
    </xf>
    <xf numFmtId="167" fontId="65" fillId="0" borderId="11" xfId="1" applyNumberFormat="1" applyFont="1" applyBorder="1" applyAlignment="1">
      <alignment vertical="center" wrapText="1"/>
    </xf>
    <xf numFmtId="167" fontId="65" fillId="0" borderId="12" xfId="1" applyNumberFormat="1" applyFont="1" applyBorder="1" applyAlignment="1">
      <alignment vertical="center" wrapText="1"/>
    </xf>
    <xf numFmtId="165" fontId="65" fillId="0" borderId="16" xfId="1" applyNumberFormat="1" applyFont="1" applyBorder="1" applyAlignment="1">
      <alignment vertical="center" wrapText="1"/>
    </xf>
    <xf numFmtId="166" fontId="65" fillId="0" borderId="0" xfId="1" applyNumberFormat="1" applyFont="1" applyBorder="1" applyAlignment="1">
      <alignment horizontal="center" vertical="center"/>
    </xf>
    <xf numFmtId="166" fontId="65" fillId="0" borderId="11" xfId="1" applyNumberFormat="1" applyFont="1" applyBorder="1" applyAlignment="1">
      <alignment vertical="center"/>
    </xf>
    <xf numFmtId="165" fontId="65" fillId="0" borderId="12" xfId="1" applyNumberFormat="1" applyFont="1" applyBorder="1" applyAlignment="1">
      <alignment vertical="center"/>
    </xf>
    <xf numFmtId="2" fontId="65" fillId="0" borderId="12" xfId="1" applyNumberFormat="1" applyFont="1" applyBorder="1" applyAlignment="1">
      <alignment vertical="center"/>
    </xf>
    <xf numFmtId="166" fontId="65" fillId="0" borderId="12" xfId="1" applyNumberFormat="1" applyFont="1" applyBorder="1" applyAlignment="1">
      <alignment vertical="center"/>
    </xf>
    <xf numFmtId="0" fontId="65" fillId="0" borderId="54" xfId="1" applyFont="1" applyBorder="1" applyAlignment="1">
      <alignment horizontal="left" vertical="center" wrapText="1"/>
    </xf>
    <xf numFmtId="165" fontId="68" fillId="0" borderId="0" xfId="40" applyNumberFormat="1" applyFont="1" applyAlignment="1">
      <alignment vertical="center"/>
    </xf>
    <xf numFmtId="0" fontId="65" fillId="0" borderId="11" xfId="1" applyNumberFormat="1" applyFont="1" applyBorder="1" applyAlignment="1">
      <alignment horizontal="center" vertical="center" wrapText="1"/>
    </xf>
    <xf numFmtId="166" fontId="65" fillId="0" borderId="11" xfId="1" applyNumberFormat="1" applyFont="1" applyBorder="1" applyAlignment="1">
      <alignment vertical="center" wrapText="1"/>
    </xf>
    <xf numFmtId="166" fontId="65" fillId="0" borderId="12" xfId="1" applyNumberFormat="1" applyFont="1" applyBorder="1" applyAlignment="1">
      <alignment vertical="center" wrapText="1"/>
    </xf>
    <xf numFmtId="165" fontId="65" fillId="0" borderId="10" xfId="1" applyNumberFormat="1" applyFont="1" applyBorder="1" applyAlignment="1">
      <alignment vertical="center"/>
    </xf>
    <xf numFmtId="49" fontId="65" fillId="0" borderId="11" xfId="1" applyNumberFormat="1" applyFont="1" applyBorder="1" applyAlignment="1">
      <alignment horizontal="left" vertical="center" wrapText="1"/>
    </xf>
    <xf numFmtId="49" fontId="65" fillId="0" borderId="12" xfId="1" applyNumberFormat="1" applyFont="1" applyFill="1" applyBorder="1" applyAlignment="1">
      <alignment horizontal="center" vertical="center" wrapText="1"/>
    </xf>
    <xf numFmtId="0" fontId="65" fillId="0" borderId="11" xfId="1" applyNumberFormat="1" applyFont="1" applyFill="1" applyBorder="1" applyAlignment="1">
      <alignment horizontal="center" vertical="center" wrapText="1"/>
    </xf>
    <xf numFmtId="0" fontId="65" fillId="0" borderId="90" xfId="1" applyNumberFormat="1" applyFont="1" applyFill="1" applyBorder="1" applyAlignment="1">
      <alignment horizontal="center" vertical="center" wrapText="1"/>
    </xf>
    <xf numFmtId="0" fontId="65" fillId="0" borderId="0" xfId="1" applyNumberFormat="1" applyFont="1" applyFill="1" applyBorder="1" applyAlignment="1">
      <alignment horizontal="center" vertical="center" wrapText="1"/>
    </xf>
    <xf numFmtId="0" fontId="65" fillId="0" borderId="9" xfId="1" applyNumberFormat="1" applyFont="1" applyFill="1" applyBorder="1" applyAlignment="1">
      <alignment horizontal="center" vertical="center" wrapText="1"/>
    </xf>
    <xf numFmtId="0" fontId="65" fillId="0" borderId="18" xfId="1" applyFont="1" applyBorder="1" applyAlignment="1">
      <alignment horizontal="left" vertical="center" wrapText="1"/>
    </xf>
    <xf numFmtId="166" fontId="67" fillId="0" borderId="91" xfId="1" applyNumberFormat="1" applyFont="1" applyBorder="1" applyAlignment="1">
      <alignment vertical="center" wrapText="1"/>
    </xf>
    <xf numFmtId="0" fontId="65" fillId="0" borderId="54" xfId="1" applyFont="1" applyBorder="1" applyAlignment="1">
      <alignment horizontal="left" vertical="center" wrapText="1"/>
    </xf>
    <xf numFmtId="167" fontId="68" fillId="0" borderId="0" xfId="24" applyFont="1" applyAlignment="1">
      <alignment vertical="center"/>
    </xf>
    <xf numFmtId="0" fontId="65" fillId="0" borderId="28" xfId="1" applyFont="1" applyFill="1" applyBorder="1" applyAlignment="1">
      <alignment horizontal="center" vertical="center" wrapText="1"/>
    </xf>
    <xf numFmtId="1" fontId="65" fillId="0" borderId="27" xfId="1" applyNumberFormat="1" applyFont="1" applyFill="1" applyBorder="1" applyAlignment="1">
      <alignment horizontal="center" vertical="center" wrapText="1"/>
    </xf>
    <xf numFmtId="1" fontId="65" fillId="0" borderId="93" xfId="1" applyNumberFormat="1" applyFont="1" applyFill="1" applyBorder="1" applyAlignment="1">
      <alignment horizontal="center" vertical="center" wrapText="1"/>
    </xf>
    <xf numFmtId="1" fontId="65" fillId="0" borderId="61" xfId="1" applyNumberFormat="1" applyFont="1" applyFill="1" applyBorder="1" applyAlignment="1">
      <alignment horizontal="center" vertical="center" wrapText="1"/>
    </xf>
    <xf numFmtId="1" fontId="65" fillId="0" borderId="91" xfId="1" applyNumberFormat="1" applyFont="1" applyFill="1" applyBorder="1" applyAlignment="1">
      <alignment horizontal="center" vertical="center" wrapText="1"/>
    </xf>
    <xf numFmtId="166" fontId="67" fillId="0" borderId="27" xfId="1" applyNumberFormat="1" applyFont="1" applyBorder="1" applyAlignment="1">
      <alignment vertical="center" wrapText="1"/>
    </xf>
    <xf numFmtId="0" fontId="65" fillId="0" borderId="39" xfId="1" applyFont="1" applyBorder="1" applyAlignment="1">
      <alignment vertical="center" wrapText="1"/>
    </xf>
    <xf numFmtId="0" fontId="65" fillId="0" borderId="11" xfId="1" applyFont="1" applyBorder="1" applyAlignment="1">
      <alignment horizontal="center" vertical="center" wrapText="1"/>
    </xf>
    <xf numFmtId="0" fontId="65" fillId="0" borderId="11" xfId="1" applyNumberFormat="1" applyFont="1" applyBorder="1" applyAlignment="1">
      <alignment vertical="center" wrapText="1"/>
    </xf>
    <xf numFmtId="0" fontId="65" fillId="0" borderId="12" xfId="1" applyFont="1" applyFill="1" applyBorder="1" applyAlignment="1">
      <alignment horizontal="center" vertical="center" wrapText="1"/>
    </xf>
    <xf numFmtId="2" fontId="65" fillId="0" borderId="11" xfId="1" applyNumberFormat="1" applyFont="1" applyFill="1" applyBorder="1" applyAlignment="1">
      <alignment horizontal="center" vertical="center" wrapText="1"/>
    </xf>
    <xf numFmtId="0" fontId="65" fillId="0" borderId="90" xfId="1" applyFont="1" applyFill="1" applyBorder="1" applyAlignment="1">
      <alignment horizontal="center" vertical="center" wrapText="1"/>
    </xf>
    <xf numFmtId="1" fontId="65" fillId="0" borderId="11" xfId="1" applyNumberFormat="1" applyFont="1" applyFill="1" applyBorder="1" applyAlignment="1">
      <alignment horizontal="center" vertical="center" wrapText="1"/>
    </xf>
    <xf numFmtId="2" fontId="65" fillId="0" borderId="0" xfId="1" applyNumberFormat="1" applyFont="1" applyFill="1" applyBorder="1" applyAlignment="1">
      <alignment horizontal="center" vertical="center" wrapText="1"/>
    </xf>
    <xf numFmtId="0" fontId="65" fillId="0" borderId="9" xfId="1" applyFont="1" applyFill="1" applyBorder="1" applyAlignment="1">
      <alignment horizontal="center" vertical="center" wrapText="1"/>
    </xf>
    <xf numFmtId="2" fontId="65" fillId="0" borderId="9" xfId="1" applyNumberFormat="1" applyFont="1" applyFill="1" applyBorder="1" applyAlignment="1">
      <alignment horizontal="center" vertical="center" wrapText="1"/>
    </xf>
    <xf numFmtId="0" fontId="65" fillId="0" borderId="11" xfId="1" applyFont="1" applyFill="1" applyBorder="1" applyAlignment="1">
      <alignment horizontal="center" vertical="center" wrapText="1"/>
    </xf>
    <xf numFmtId="2" fontId="65" fillId="0" borderId="90" xfId="1" applyNumberFormat="1" applyFont="1" applyFill="1" applyBorder="1" applyAlignment="1">
      <alignment horizontal="center" vertical="center" wrapText="1"/>
    </xf>
    <xf numFmtId="0" fontId="65" fillId="0" borderId="10" xfId="1" applyFont="1" applyBorder="1" applyAlignment="1">
      <alignment horizontal="left" vertical="center" wrapText="1"/>
    </xf>
    <xf numFmtId="49" fontId="65" fillId="0" borderId="39" xfId="1" applyNumberFormat="1" applyFont="1" applyBorder="1" applyAlignment="1">
      <alignment horizontal="left" vertical="center" indent="2"/>
    </xf>
    <xf numFmtId="49" fontId="65" fillId="0" borderId="11" xfId="1" applyNumberFormat="1" applyFont="1" applyBorder="1" applyAlignment="1">
      <alignment horizontal="center" vertical="center"/>
    </xf>
    <xf numFmtId="0" fontId="65" fillId="0" borderId="10" xfId="1" applyNumberFormat="1" applyFont="1" applyBorder="1" applyAlignment="1">
      <alignment horizontal="center" vertical="center"/>
    </xf>
    <xf numFmtId="0" fontId="65" fillId="0" borderId="11" xfId="1" applyNumberFormat="1" applyFont="1" applyBorder="1" applyAlignment="1">
      <alignment horizontal="left" vertical="center"/>
    </xf>
    <xf numFmtId="165" fontId="65" fillId="0" borderId="12" xfId="1" applyNumberFormat="1" applyFont="1" applyBorder="1" applyAlignment="1">
      <alignment horizontal="center" vertical="center"/>
    </xf>
    <xf numFmtId="165" fontId="65" fillId="0" borderId="11" xfId="1" applyNumberFormat="1" applyFont="1" applyBorder="1" applyAlignment="1">
      <alignment horizontal="center" vertical="center"/>
    </xf>
    <xf numFmtId="165" fontId="65" fillId="0" borderId="90" xfId="1" applyNumberFormat="1" applyFont="1" applyBorder="1" applyAlignment="1">
      <alignment horizontal="center" vertical="center"/>
    </xf>
    <xf numFmtId="165" fontId="65" fillId="0" borderId="0" xfId="1" applyNumberFormat="1" applyFont="1" applyBorder="1" applyAlignment="1">
      <alignment horizontal="center" vertical="center"/>
    </xf>
    <xf numFmtId="165" fontId="65" fillId="0" borderId="9" xfId="1" applyNumberFormat="1" applyFont="1" applyBorder="1" applyAlignment="1">
      <alignment horizontal="center" vertical="center"/>
    </xf>
    <xf numFmtId="167" fontId="65" fillId="0" borderId="11" xfId="1" applyNumberFormat="1" applyFont="1" applyBorder="1" applyAlignment="1">
      <alignment vertical="center"/>
    </xf>
    <xf numFmtId="167" fontId="65" fillId="0" borderId="12" xfId="1" applyNumberFormat="1" applyFont="1" applyBorder="1" applyAlignment="1">
      <alignment vertical="center"/>
    </xf>
    <xf numFmtId="165" fontId="65" fillId="0" borderId="16" xfId="1" applyNumberFormat="1" applyFont="1" applyBorder="1" applyAlignment="1">
      <alignment vertical="center"/>
    </xf>
    <xf numFmtId="0" fontId="65" fillId="0" borderId="11" xfId="1" applyNumberFormat="1" applyFont="1" applyBorder="1" applyAlignment="1">
      <alignment horizontal="center" vertical="center"/>
    </xf>
    <xf numFmtId="49" fontId="65" fillId="0" borderId="39" xfId="1" applyNumberFormat="1" applyFont="1" applyBorder="1" applyAlignment="1">
      <alignment horizontal="left" vertical="center"/>
    </xf>
    <xf numFmtId="49" fontId="65" fillId="0" borderId="11" xfId="1" applyNumberFormat="1" applyFont="1" applyBorder="1" applyAlignment="1">
      <alignment horizontal="left" vertical="center"/>
    </xf>
    <xf numFmtId="49" fontId="65" fillId="0" borderId="12" xfId="1" applyNumberFormat="1" applyFont="1" applyFill="1" applyBorder="1" applyAlignment="1">
      <alignment horizontal="center" vertical="center"/>
    </xf>
    <xf numFmtId="0" fontId="65" fillId="0" borderId="11" xfId="1" applyNumberFormat="1" applyFont="1" applyFill="1" applyBorder="1" applyAlignment="1">
      <alignment horizontal="center" vertical="center"/>
    </xf>
    <xf numFmtId="0" fontId="65" fillId="0" borderId="90" xfId="1" applyNumberFormat="1" applyFont="1" applyFill="1" applyBorder="1" applyAlignment="1">
      <alignment horizontal="center" vertical="center"/>
    </xf>
    <xf numFmtId="0" fontId="65" fillId="0" borderId="0" xfId="1" applyNumberFormat="1" applyFont="1" applyFill="1" applyBorder="1" applyAlignment="1">
      <alignment horizontal="center" vertical="center"/>
    </xf>
    <xf numFmtId="0" fontId="65" fillId="0" borderId="9" xfId="1" applyNumberFormat="1" applyFont="1" applyFill="1" applyBorder="1" applyAlignment="1">
      <alignment horizontal="center" vertical="center"/>
    </xf>
    <xf numFmtId="0" fontId="65" fillId="0" borderId="44" xfId="1" applyFont="1" applyBorder="1" applyAlignment="1">
      <alignment vertical="center"/>
    </xf>
    <xf numFmtId="0" fontId="65" fillId="0" borderId="26" xfId="1" applyNumberFormat="1" applyFont="1" applyBorder="1" applyAlignment="1">
      <alignment horizontal="center" vertical="center"/>
    </xf>
    <xf numFmtId="0" fontId="65" fillId="0" borderId="27" xfId="1" applyNumberFormat="1" applyFont="1" applyBorder="1" applyAlignment="1">
      <alignment vertical="center"/>
    </xf>
    <xf numFmtId="0" fontId="65" fillId="0" borderId="27" xfId="1" applyFont="1" applyBorder="1" applyAlignment="1">
      <alignment horizontal="center" vertical="center"/>
    </xf>
    <xf numFmtId="1" fontId="65" fillId="0" borderId="28" xfId="1" applyNumberFormat="1" applyFont="1" applyFill="1" applyBorder="1" applyAlignment="1">
      <alignment horizontal="center" vertical="center"/>
    </xf>
    <xf numFmtId="1" fontId="65" fillId="0" borderId="27" xfId="1" applyNumberFormat="1" applyFont="1" applyFill="1" applyBorder="1" applyAlignment="1">
      <alignment horizontal="center" vertical="center"/>
    </xf>
    <xf numFmtId="1" fontId="65" fillId="0" borderId="93" xfId="1" applyNumberFormat="1" applyFont="1" applyFill="1" applyBorder="1" applyAlignment="1">
      <alignment horizontal="center" vertical="center"/>
    </xf>
    <xf numFmtId="1" fontId="65" fillId="0" borderId="61" xfId="1" applyNumberFormat="1" applyFont="1" applyFill="1" applyBorder="1" applyAlignment="1">
      <alignment horizontal="center" vertical="center"/>
    </xf>
    <xf numFmtId="1" fontId="65" fillId="0" borderId="91" xfId="1" applyNumberFormat="1" applyFont="1" applyFill="1" applyBorder="1" applyAlignment="1">
      <alignment horizontal="center" vertical="center"/>
    </xf>
    <xf numFmtId="166" fontId="67" fillId="0" borderId="27" xfId="1" applyNumberFormat="1" applyFont="1" applyBorder="1" applyAlignment="1">
      <alignment vertical="center"/>
    </xf>
    <xf numFmtId="165" fontId="65" fillId="0" borderId="29" xfId="1" applyNumberFormat="1" applyFont="1" applyBorder="1" applyAlignment="1">
      <alignment vertical="center"/>
    </xf>
    <xf numFmtId="0" fontId="65" fillId="0" borderId="39" xfId="1" applyFont="1" applyBorder="1" applyAlignment="1">
      <alignment vertical="center"/>
    </xf>
    <xf numFmtId="0" fontId="65" fillId="0" borderId="11" xfId="1" applyNumberFormat="1" applyFont="1" applyBorder="1" applyAlignment="1">
      <alignment vertical="center"/>
    </xf>
    <xf numFmtId="0" fontId="65" fillId="0" borderId="11" xfId="1" applyFont="1" applyBorder="1" applyAlignment="1">
      <alignment horizontal="center" vertical="center"/>
    </xf>
    <xf numFmtId="0" fontId="65" fillId="0" borderId="12" xfId="1" applyFont="1" applyFill="1" applyBorder="1" applyAlignment="1">
      <alignment horizontal="center" vertical="center"/>
    </xf>
    <xf numFmtId="2" fontId="65" fillId="0" borderId="11" xfId="1" applyNumberFormat="1" applyFont="1" applyFill="1" applyBorder="1" applyAlignment="1">
      <alignment horizontal="center" vertical="center"/>
    </xf>
    <xf numFmtId="0" fontId="65" fillId="0" borderId="11" xfId="1" applyFont="1" applyFill="1" applyBorder="1" applyAlignment="1">
      <alignment horizontal="center" vertical="center"/>
    </xf>
    <xf numFmtId="2" fontId="65" fillId="0" borderId="0" xfId="1" applyNumberFormat="1" applyFont="1" applyFill="1" applyBorder="1" applyAlignment="1">
      <alignment horizontal="center" vertical="center"/>
    </xf>
    <xf numFmtId="0" fontId="65" fillId="0" borderId="9" xfId="1" applyFont="1" applyFill="1" applyBorder="1" applyAlignment="1">
      <alignment horizontal="center" vertical="center"/>
    </xf>
    <xf numFmtId="0" fontId="65" fillId="0" borderId="90" xfId="1" applyFont="1" applyFill="1" applyBorder="1" applyAlignment="1">
      <alignment horizontal="center" vertical="center"/>
    </xf>
    <xf numFmtId="2" fontId="65" fillId="0" borderId="9" xfId="1" applyNumberFormat="1" applyFont="1" applyFill="1" applyBorder="1" applyAlignment="1">
      <alignment horizontal="center" vertical="center"/>
    </xf>
    <xf numFmtId="2" fontId="65" fillId="0" borderId="90" xfId="1" applyNumberFormat="1" applyFont="1" applyFill="1" applyBorder="1" applyAlignment="1">
      <alignment horizontal="center" vertical="center"/>
    </xf>
    <xf numFmtId="49" fontId="65" fillId="0" borderId="94" xfId="1" applyNumberFormat="1" applyFont="1" applyBorder="1" applyAlignment="1">
      <alignment horizontal="left" vertical="center"/>
    </xf>
    <xf numFmtId="49" fontId="65" fillId="0" borderId="83" xfId="1" applyNumberFormat="1" applyFont="1" applyBorder="1" applyAlignment="1">
      <alignment horizontal="left" vertical="center"/>
    </xf>
    <xf numFmtId="0" fontId="65" fillId="0" borderId="82" xfId="1" applyNumberFormat="1" applyFont="1" applyBorder="1" applyAlignment="1">
      <alignment horizontal="center" vertical="center"/>
    </xf>
    <xf numFmtId="0" fontId="65" fillId="0" borderId="83" xfId="1" applyNumberFormat="1" applyFont="1" applyBorder="1" applyAlignment="1">
      <alignment horizontal="left" vertical="center"/>
    </xf>
    <xf numFmtId="49" fontId="65" fillId="0" borderId="83" xfId="1" applyNumberFormat="1" applyFont="1" applyBorder="1" applyAlignment="1">
      <alignment horizontal="center" vertical="center"/>
    </xf>
    <xf numFmtId="49" fontId="65" fillId="0" borderId="84" xfId="1" applyNumberFormat="1" applyFont="1" applyFill="1" applyBorder="1" applyAlignment="1">
      <alignment horizontal="center" vertical="center"/>
    </xf>
    <xf numFmtId="0" fontId="65" fillId="0" borderId="83" xfId="1" applyNumberFormat="1" applyFont="1" applyFill="1" applyBorder="1" applyAlignment="1">
      <alignment horizontal="center" vertical="center"/>
    </xf>
    <xf numFmtId="0" fontId="65" fillId="0" borderId="95" xfId="1" applyNumberFormat="1" applyFont="1" applyFill="1" applyBorder="1" applyAlignment="1">
      <alignment horizontal="center" vertical="center"/>
    </xf>
    <xf numFmtId="0" fontId="65" fillId="0" borderId="96" xfId="1" applyNumberFormat="1" applyFont="1" applyFill="1" applyBorder="1" applyAlignment="1">
      <alignment horizontal="center" vertical="center"/>
    </xf>
    <xf numFmtId="0" fontId="65" fillId="0" borderId="81" xfId="1" applyNumberFormat="1" applyFont="1" applyFill="1" applyBorder="1" applyAlignment="1">
      <alignment horizontal="center" vertical="center"/>
    </xf>
    <xf numFmtId="166" fontId="65" fillId="0" borderId="83" xfId="1" applyNumberFormat="1" applyFont="1" applyBorder="1" applyAlignment="1">
      <alignment vertical="center"/>
    </xf>
    <xf numFmtId="166" fontId="65" fillId="0" borderId="84" xfId="1" applyNumberFormat="1" applyFont="1" applyBorder="1" applyAlignment="1">
      <alignment vertical="center"/>
    </xf>
    <xf numFmtId="165" fontId="65" fillId="0" borderId="85" xfId="1" applyNumberFormat="1" applyFont="1" applyBorder="1" applyAlignment="1">
      <alignment vertical="center"/>
    </xf>
    <xf numFmtId="0" fontId="65" fillId="0" borderId="48" xfId="1" applyNumberFormat="1" applyFont="1" applyBorder="1" applyAlignment="1">
      <alignment horizontal="center" vertical="center"/>
    </xf>
    <xf numFmtId="0" fontId="65" fillId="0" borderId="79" xfId="1" applyNumberFormat="1" applyFont="1" applyBorder="1" applyAlignment="1">
      <alignment vertical="center"/>
    </xf>
    <xf numFmtId="0" fontId="65" fillId="0" borderId="79" xfId="1" applyFont="1" applyBorder="1" applyAlignment="1">
      <alignment horizontal="center" vertical="center"/>
    </xf>
    <xf numFmtId="0" fontId="65" fillId="0" borderId="28" xfId="1" applyFont="1" applyFill="1" applyBorder="1" applyAlignment="1">
      <alignment horizontal="center" vertical="center"/>
    </xf>
    <xf numFmtId="166" fontId="67" fillId="0" borderId="79" xfId="1" applyNumberFormat="1" applyFont="1" applyBorder="1" applyAlignment="1">
      <alignment vertical="center"/>
    </xf>
    <xf numFmtId="166" fontId="65" fillId="0" borderId="80" xfId="1" applyNumberFormat="1" applyFont="1" applyBorder="1" applyAlignment="1">
      <alignment vertical="center"/>
    </xf>
    <xf numFmtId="165" fontId="65" fillId="0" borderId="97" xfId="1" applyNumberFormat="1" applyFont="1" applyBorder="1" applyAlignment="1">
      <alignment vertical="center"/>
    </xf>
    <xf numFmtId="0" fontId="65" fillId="0" borderId="0" xfId="1" applyFont="1" applyFill="1" applyBorder="1" applyAlignment="1">
      <alignment horizontal="center" vertical="center"/>
    </xf>
    <xf numFmtId="0" fontId="65" fillId="0" borderId="27" xfId="1" applyFont="1" applyFill="1" applyBorder="1" applyAlignment="1">
      <alignment horizontal="center" vertical="center"/>
    </xf>
    <xf numFmtId="0" fontId="65" fillId="0" borderId="93" xfId="1" applyFont="1" applyFill="1" applyBorder="1" applyAlignment="1">
      <alignment horizontal="center" vertical="center"/>
    </xf>
    <xf numFmtId="0" fontId="65" fillId="0" borderId="61" xfId="1" applyFont="1" applyFill="1" applyBorder="1" applyAlignment="1">
      <alignment horizontal="center" vertical="center"/>
    </xf>
    <xf numFmtId="0" fontId="65" fillId="0" borderId="91" xfId="1" applyFont="1" applyFill="1" applyBorder="1" applyAlignment="1">
      <alignment horizontal="center" vertical="center"/>
    </xf>
    <xf numFmtId="49" fontId="65" fillId="0" borderId="94" xfId="1" applyNumberFormat="1" applyFont="1" applyBorder="1" applyAlignment="1">
      <alignment horizontal="left" vertical="center" indent="2"/>
    </xf>
    <xf numFmtId="165" fontId="65" fillId="0" borderId="84" xfId="1" applyNumberFormat="1" applyFont="1" applyBorder="1" applyAlignment="1">
      <alignment horizontal="center" vertical="center"/>
    </xf>
    <xf numFmtId="165" fontId="65" fillId="0" borderId="85" xfId="1" applyNumberFormat="1" applyFont="1" applyBorder="1" applyAlignment="1">
      <alignment horizontal="center" vertical="center"/>
    </xf>
    <xf numFmtId="165" fontId="65" fillId="0" borderId="83" xfId="1" applyNumberFormat="1" applyFont="1" applyBorder="1" applyAlignment="1">
      <alignment horizontal="center" vertical="center"/>
    </xf>
    <xf numFmtId="165" fontId="65" fillId="0" borderId="82" xfId="1" applyNumberFormat="1" applyFont="1" applyBorder="1" applyAlignment="1">
      <alignment horizontal="center" vertical="center"/>
    </xf>
    <xf numFmtId="165" fontId="65" fillId="0" borderId="81" xfId="1" applyNumberFormat="1" applyFont="1" applyBorder="1" applyAlignment="1">
      <alignment horizontal="center" vertical="center"/>
    </xf>
    <xf numFmtId="0" fontId="13" fillId="2" borderId="107" xfId="1" applyFont="1" applyFill="1" applyBorder="1" applyAlignment="1">
      <alignment horizontal="center" vertical="center"/>
    </xf>
    <xf numFmtId="0" fontId="13" fillId="2" borderId="32" xfId="1" applyFont="1" applyFill="1" applyBorder="1" applyAlignment="1">
      <alignment horizontal="center" vertical="center"/>
    </xf>
    <xf numFmtId="165" fontId="13" fillId="2" borderId="46" xfId="1" applyNumberFormat="1" applyFont="1" applyFill="1" applyBorder="1" applyAlignment="1">
      <alignment horizontal="center" vertical="center"/>
    </xf>
    <xf numFmtId="165" fontId="13" fillId="2" borderId="101" xfId="1" applyNumberFormat="1" applyFont="1" applyFill="1" applyBorder="1" applyAlignment="1">
      <alignment horizontal="center" vertical="center"/>
    </xf>
    <xf numFmtId="165" fontId="13" fillId="2" borderId="102" xfId="1" applyNumberFormat="1" applyFont="1" applyFill="1" applyBorder="1" applyAlignment="1">
      <alignment horizontal="center" vertical="center"/>
    </xf>
    <xf numFmtId="165" fontId="13" fillId="2" borderId="103" xfId="1" applyNumberFormat="1" applyFont="1" applyFill="1" applyBorder="1" applyAlignment="1">
      <alignment horizontal="center" vertical="center"/>
    </xf>
    <xf numFmtId="166" fontId="13" fillId="2" borderId="45" xfId="1" applyNumberFormat="1" applyFont="1" applyFill="1" applyBorder="1" applyAlignment="1">
      <alignment vertical="center"/>
    </xf>
    <xf numFmtId="0" fontId="13" fillId="2" borderId="104" xfId="1" applyFont="1" applyFill="1" applyBorder="1" applyAlignment="1">
      <alignment horizontal="center" vertical="center"/>
    </xf>
    <xf numFmtId="0" fontId="13" fillId="2" borderId="105" xfId="1" applyFont="1" applyFill="1" applyBorder="1" applyAlignment="1">
      <alignment horizontal="center" vertical="center"/>
    </xf>
    <xf numFmtId="0" fontId="7" fillId="2" borderId="106" xfId="1" applyFont="1" applyFill="1" applyBorder="1" applyAlignment="1">
      <alignment vertical="center"/>
    </xf>
    <xf numFmtId="168" fontId="13" fillId="2" borderId="37" xfId="1" applyNumberFormat="1" applyFont="1" applyFill="1" applyBorder="1" applyAlignment="1">
      <alignment horizontal="center" vertical="center"/>
    </xf>
    <xf numFmtId="168" fontId="13" fillId="2" borderId="38" xfId="1" applyNumberFormat="1" applyFont="1" applyFill="1" applyBorder="1" applyAlignment="1">
      <alignment horizontal="center" vertical="center"/>
    </xf>
    <xf numFmtId="168" fontId="13" fillId="2" borderId="105" xfId="1" applyNumberFormat="1" applyFont="1" applyFill="1" applyBorder="1" applyAlignment="1">
      <alignment horizontal="center" vertical="center"/>
    </xf>
    <xf numFmtId="168" fontId="13" fillId="2" borderId="106" xfId="1" applyNumberFormat="1" applyFont="1" applyFill="1" applyBorder="1" applyAlignment="1">
      <alignment horizontal="center" vertical="center"/>
    </xf>
    <xf numFmtId="168" fontId="13" fillId="2" borderId="35" xfId="1" applyNumberFormat="1" applyFont="1" applyFill="1" applyBorder="1" applyAlignment="1">
      <alignment horizontal="center" vertical="center"/>
    </xf>
    <xf numFmtId="0" fontId="7" fillId="2" borderId="105" xfId="1" applyFont="1" applyFill="1" applyBorder="1" applyAlignment="1">
      <alignment vertical="center"/>
    </xf>
    <xf numFmtId="0" fontId="8" fillId="0" borderId="0" xfId="40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168" fontId="13" fillId="0" borderId="0" xfId="1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65" fillId="0" borderId="0" xfId="40" applyFont="1" applyAlignment="1">
      <alignment vertical="center"/>
    </xf>
    <xf numFmtId="0" fontId="65" fillId="0" borderId="0" xfId="1" applyFont="1" applyAlignment="1">
      <alignment vertical="center"/>
    </xf>
    <xf numFmtId="49" fontId="65" fillId="0" borderId="0" xfId="1" applyNumberFormat="1" applyFont="1" applyFill="1" applyBorder="1" applyAlignment="1" applyProtection="1">
      <alignment vertical="center"/>
      <protection locked="0"/>
    </xf>
    <xf numFmtId="49" fontId="65" fillId="0" borderId="0" xfId="1" applyNumberFormat="1" applyFont="1" applyAlignment="1" applyProtection="1">
      <alignment horizontal="center" vertical="center"/>
      <protection locked="0"/>
    </xf>
    <xf numFmtId="0" fontId="65" fillId="0" borderId="0" xfId="1" applyFont="1" applyAlignment="1">
      <alignment horizontal="center" vertical="center"/>
    </xf>
    <xf numFmtId="166" fontId="65" fillId="0" borderId="0" xfId="1" applyNumberFormat="1" applyFont="1" applyAlignment="1">
      <alignment vertical="center"/>
    </xf>
    <xf numFmtId="166" fontId="65" fillId="0" borderId="0" xfId="1" applyNumberFormat="1" applyFont="1" applyBorder="1" applyAlignment="1">
      <alignment vertical="center"/>
    </xf>
    <xf numFmtId="166" fontId="65" fillId="0" borderId="0" xfId="1" applyNumberFormat="1" applyFont="1" applyAlignment="1">
      <alignment horizontal="center" vertical="center"/>
    </xf>
    <xf numFmtId="167" fontId="65" fillId="0" borderId="0" xfId="1" applyNumberFormat="1" applyFont="1" applyBorder="1" applyAlignment="1">
      <alignment vertical="center"/>
    </xf>
    <xf numFmtId="166" fontId="67" fillId="0" borderId="0" xfId="1" applyNumberFormat="1" applyFont="1" applyAlignment="1">
      <alignment horizontal="center" vertical="center"/>
    </xf>
    <xf numFmtId="0" fontId="70" fillId="0" borderId="0" xfId="1" applyFont="1" applyAlignment="1">
      <alignment horizontal="center" vertical="center"/>
    </xf>
    <xf numFmtId="166" fontId="70" fillId="0" borderId="0" xfId="1" applyNumberFormat="1" applyFont="1" applyAlignment="1">
      <alignment horizontal="center" vertical="center"/>
    </xf>
    <xf numFmtId="0" fontId="65" fillId="0" borderId="0" xfId="1" applyFont="1" applyAlignment="1">
      <alignment horizontal="left" vertical="center"/>
    </xf>
    <xf numFmtId="0" fontId="65" fillId="0" borderId="0" xfId="40" applyFont="1" applyAlignment="1">
      <alignment horizontal="center" vertical="center"/>
    </xf>
    <xf numFmtId="0" fontId="39" fillId="0" borderId="0" xfId="40" applyFont="1"/>
    <xf numFmtId="0" fontId="71" fillId="0" borderId="0" xfId="40" applyFont="1" applyAlignment="1">
      <alignment vertical="center"/>
    </xf>
    <xf numFmtId="0" fontId="8" fillId="0" borderId="0" xfId="40" quotePrefix="1" applyFont="1" applyAlignment="1">
      <alignment vertical="center"/>
    </xf>
    <xf numFmtId="0" fontId="8" fillId="0" borderId="53" xfId="40" applyFont="1" applyBorder="1" applyAlignment="1">
      <alignment vertical="center"/>
    </xf>
    <xf numFmtId="42" fontId="7" fillId="0" borderId="0" xfId="1" applyNumberFormat="1" applyFont="1" applyAlignment="1">
      <alignment horizontal="center" vertical="center"/>
    </xf>
    <xf numFmtId="2" fontId="65" fillId="0" borderId="28" xfId="1" applyNumberFormat="1" applyFont="1" applyFill="1" applyBorder="1" applyAlignment="1">
      <alignment horizontal="center" vertical="center"/>
    </xf>
    <xf numFmtId="2" fontId="65" fillId="0" borderId="27" xfId="1" applyNumberFormat="1" applyFont="1" applyFill="1" applyBorder="1" applyAlignment="1">
      <alignment horizontal="center" vertical="center"/>
    </xf>
    <xf numFmtId="2" fontId="65" fillId="0" borderId="61" xfId="1" applyNumberFormat="1" applyFont="1" applyFill="1" applyBorder="1" applyAlignment="1">
      <alignment horizontal="center" vertical="center"/>
    </xf>
    <xf numFmtId="2" fontId="65" fillId="0" borderId="91" xfId="1" applyNumberFormat="1" applyFont="1" applyFill="1" applyBorder="1" applyAlignment="1">
      <alignment horizontal="center" vertical="center"/>
    </xf>
    <xf numFmtId="166" fontId="67" fillId="0" borderId="92" xfId="1" applyNumberFormat="1" applyFont="1" applyBorder="1" applyAlignment="1">
      <alignment vertical="center"/>
    </xf>
    <xf numFmtId="2" fontId="65" fillId="0" borderId="93" xfId="1" applyNumberFormat="1" applyFont="1" applyFill="1" applyBorder="1" applyAlignment="1">
      <alignment horizontal="center" vertical="center"/>
    </xf>
    <xf numFmtId="166" fontId="67" fillId="0" borderId="91" xfId="1" applyNumberFormat="1" applyFont="1" applyBorder="1" applyAlignment="1">
      <alignment vertical="center"/>
    </xf>
    <xf numFmtId="49" fontId="65" fillId="0" borderId="20" xfId="1" applyNumberFormat="1" applyFont="1" applyBorder="1" applyAlignment="1">
      <alignment horizontal="center" vertical="center"/>
    </xf>
    <xf numFmtId="49" fontId="65" fillId="0" borderId="20" xfId="1" applyNumberFormat="1" applyFont="1" applyFill="1" applyBorder="1" applyAlignment="1">
      <alignment horizontal="center" vertical="center"/>
    </xf>
    <xf numFmtId="0" fontId="65" fillId="0" borderId="19" xfId="1" applyNumberFormat="1" applyFont="1" applyFill="1" applyBorder="1" applyAlignment="1">
      <alignment horizontal="center" vertical="center"/>
    </xf>
    <xf numFmtId="0" fontId="65" fillId="0" borderId="98" xfId="1" applyNumberFormat="1" applyFont="1" applyFill="1" applyBorder="1" applyAlignment="1">
      <alignment horizontal="center" vertical="center"/>
    </xf>
    <xf numFmtId="0" fontId="65" fillId="0" borderId="73" xfId="1" applyNumberFormat="1" applyFont="1" applyFill="1" applyBorder="1" applyAlignment="1">
      <alignment horizontal="center" vertical="center"/>
    </xf>
    <xf numFmtId="0" fontId="65" fillId="0" borderId="17" xfId="1" applyNumberFormat="1" applyFont="1" applyFill="1" applyBorder="1" applyAlignment="1">
      <alignment horizontal="center" vertical="center"/>
    </xf>
    <xf numFmtId="165" fontId="7" fillId="2" borderId="46" xfId="1" applyNumberFormat="1" applyFont="1" applyFill="1" applyBorder="1" applyAlignment="1">
      <alignment horizontal="center" vertical="center"/>
    </xf>
    <xf numFmtId="168" fontId="7" fillId="2" borderId="37" xfId="1" applyNumberFormat="1" applyFont="1" applyFill="1" applyBorder="1" applyAlignment="1">
      <alignment horizontal="center" vertical="center"/>
    </xf>
    <xf numFmtId="168" fontId="7" fillId="2" borderId="38" xfId="1" applyNumberFormat="1" applyFont="1" applyFill="1" applyBorder="1" applyAlignment="1">
      <alignment horizontal="center" vertical="center"/>
    </xf>
    <xf numFmtId="168" fontId="7" fillId="2" borderId="105" xfId="1" applyNumberFormat="1" applyFont="1" applyFill="1" applyBorder="1" applyAlignment="1">
      <alignment horizontal="center" vertical="center"/>
    </xf>
    <xf numFmtId="168" fontId="7" fillId="2" borderId="106" xfId="1" applyNumberFormat="1" applyFont="1" applyFill="1" applyBorder="1" applyAlignment="1">
      <alignment horizontal="center" vertical="center"/>
    </xf>
    <xf numFmtId="168" fontId="7" fillId="2" borderId="35" xfId="1" applyNumberFormat="1" applyFont="1" applyFill="1" applyBorder="1" applyAlignment="1">
      <alignment horizontal="center" vertical="center"/>
    </xf>
  </cellXfs>
  <cellStyles count="144">
    <cellStyle name="Comma [0] 10" xfId="3"/>
    <cellStyle name="Comma [0] 10 2" xfId="4"/>
    <cellStyle name="Comma [0] 10 2 2" xfId="5"/>
    <cellStyle name="Comma [0] 2" xfId="6"/>
    <cellStyle name="Comma [0] 2 10" xfId="134"/>
    <cellStyle name="Comma [0] 2 2" xfId="7"/>
    <cellStyle name="Comma [0] 2 2 2" xfId="126"/>
    <cellStyle name="Comma [0] 2 2 3" xfId="135"/>
    <cellStyle name="Comma [0] 2 3" xfId="8"/>
    <cellStyle name="Comma [0] 2 4" xfId="9"/>
    <cellStyle name="Comma [0] 2 4 2" xfId="138"/>
    <cellStyle name="Comma [0] 2 5" xfId="10"/>
    <cellStyle name="Comma [0] 2 6" xfId="11"/>
    <cellStyle name="Comma [0] 2 7" xfId="12"/>
    <cellStyle name="Comma [0] 2 7 2" xfId="13"/>
    <cellStyle name="Comma [0] 2 7 2 2" xfId="137"/>
    <cellStyle name="Comma [0] 2 8" xfId="14"/>
    <cellStyle name="Comma [0] 2 9" xfId="15"/>
    <cellStyle name="Comma [0] 3" xfId="16"/>
    <cellStyle name="Comma [0] 3 2" xfId="127"/>
    <cellStyle name="Comma [0] 4" xfId="17"/>
    <cellStyle name="Comma [0] 4 2" xfId="18"/>
    <cellStyle name="Comma [0] 4 2 2" xfId="19"/>
    <cellStyle name="Comma [0] 5" xfId="20"/>
    <cellStyle name="Comma [0] 6" xfId="21"/>
    <cellStyle name="Comma [0] 7" xfId="22"/>
    <cellStyle name="Comma [0] 8" xfId="23"/>
    <cellStyle name="Comma [0] 8 2" xfId="125"/>
    <cellStyle name="Comma [0] 9" xfId="24"/>
    <cellStyle name="Comma 2" xfId="25"/>
    <cellStyle name="Comma 2 2" xfId="26"/>
    <cellStyle name="Comma 2 2 2" xfId="27"/>
    <cellStyle name="Comma 2 3" xfId="28"/>
    <cellStyle name="Comma 2_rekrut fix (rasio) (2)" xfId="29"/>
    <cellStyle name="Comma 3" xfId="30"/>
    <cellStyle name="Comma 3 2" xfId="139"/>
    <cellStyle name="Comma 4" xfId="31"/>
    <cellStyle name="Comma 5" xfId="128"/>
    <cellStyle name="Currency [0] 2" xfId="32"/>
    <cellStyle name="Heading" xfId="33"/>
    <cellStyle name="Heading1" xfId="34"/>
    <cellStyle name="Normal" xfId="0" builtinId="0"/>
    <cellStyle name="Normal 10" xfId="35"/>
    <cellStyle name="Normal 11" xfId="36"/>
    <cellStyle name="Normal 12" xfId="37"/>
    <cellStyle name="Normal 13" xfId="38"/>
    <cellStyle name="Normal 14" xfId="2"/>
    <cellStyle name="Normal 14 4" xfId="39"/>
    <cellStyle name="Normal 2" xfId="40"/>
    <cellStyle name="Normal 2 10" xfId="41"/>
    <cellStyle name="Normal 2 11" xfId="42"/>
    <cellStyle name="Normal 2 12" xfId="43"/>
    <cellStyle name="Normal 2 13" xfId="44"/>
    <cellStyle name="Normal 2 14" xfId="45"/>
    <cellStyle name="Normal 2 15" xfId="46"/>
    <cellStyle name="Normal 2 16" xfId="47"/>
    <cellStyle name="Normal 2 17" xfId="48"/>
    <cellStyle name="Normal 2 18" xfId="49"/>
    <cellStyle name="Normal 2 19" xfId="50"/>
    <cellStyle name="Normal 2 2" xfId="51"/>
    <cellStyle name="Normal 2 20" xfId="52"/>
    <cellStyle name="Normal 2 21" xfId="53"/>
    <cellStyle name="Normal 2 22" xfId="54"/>
    <cellStyle name="Normal 2 23" xfId="55"/>
    <cellStyle name="Normal 2 24" xfId="56"/>
    <cellStyle name="Normal 2 25" xfId="57"/>
    <cellStyle name="Normal 2 26" xfId="58"/>
    <cellStyle name="Normal 2 27" xfId="59"/>
    <cellStyle name="Normal 2 28" xfId="60"/>
    <cellStyle name="Normal 2 29" xfId="61"/>
    <cellStyle name="Normal 2 3" xfId="62"/>
    <cellStyle name="Normal 2 30" xfId="63"/>
    <cellStyle name="Normal 2 31" xfId="64"/>
    <cellStyle name="Normal 2 32" xfId="65"/>
    <cellStyle name="Normal 2 33" xfId="66"/>
    <cellStyle name="Normal 2 34" xfId="67"/>
    <cellStyle name="Normal 2 35" xfId="68"/>
    <cellStyle name="Normal 2 36" xfId="69"/>
    <cellStyle name="Normal 2 37" xfId="70"/>
    <cellStyle name="Normal 2 38" xfId="71"/>
    <cellStyle name="Normal 2 39" xfId="72"/>
    <cellStyle name="Normal 2 4" xfId="73"/>
    <cellStyle name="Normal 2 40" xfId="74"/>
    <cellStyle name="Normal 2 41" xfId="75"/>
    <cellStyle name="Normal 2 42" xfId="76"/>
    <cellStyle name="Normal 2 43" xfId="77"/>
    <cellStyle name="Normal 2 44" xfId="78"/>
    <cellStyle name="Normal 2 45" xfId="79"/>
    <cellStyle name="Normal 2 46" xfId="80"/>
    <cellStyle name="Normal 2 47" xfId="81"/>
    <cellStyle name="Normal 2 48" xfId="82"/>
    <cellStyle name="Normal 2 49" xfId="83"/>
    <cellStyle name="Normal 2 5" xfId="84"/>
    <cellStyle name="Normal 2 50" xfId="85"/>
    <cellStyle name="Normal 2 51" xfId="86"/>
    <cellStyle name="Normal 2 52" xfId="87"/>
    <cellStyle name="Normal 2 53" xfId="88"/>
    <cellStyle name="Normal 2 54" xfId="89"/>
    <cellStyle name="Normal 2 55" xfId="90"/>
    <cellStyle name="Normal 2 56" xfId="91"/>
    <cellStyle name="Normal 2 57" xfId="92"/>
    <cellStyle name="Normal 2 58" xfId="93"/>
    <cellStyle name="Normal 2 59" xfId="94"/>
    <cellStyle name="Normal 2 6" xfId="95"/>
    <cellStyle name="Normal 2 60" xfId="96"/>
    <cellStyle name="Normal 2 61" xfId="97"/>
    <cellStyle name="Normal 2 62" xfId="98"/>
    <cellStyle name="Normal 2 63" xfId="99"/>
    <cellStyle name="Normal 2 64" xfId="100"/>
    <cellStyle name="Normal 2 65" xfId="101"/>
    <cellStyle name="Normal 2 66" xfId="102"/>
    <cellStyle name="Normal 2 67" xfId="103"/>
    <cellStyle name="Normal 2 68" xfId="104"/>
    <cellStyle name="Normal 2 69" xfId="105"/>
    <cellStyle name="Normal 2 7" xfId="133"/>
    <cellStyle name="Normal 2 70" xfId="106"/>
    <cellStyle name="Normal 2 8" xfId="107"/>
    <cellStyle name="Normal 2 9" xfId="108"/>
    <cellStyle name="Normal 2_rka ident meka std komp revisi21 des" xfId="129"/>
    <cellStyle name="Normal 3" xfId="109"/>
    <cellStyle name="Normal 3 2" xfId="110"/>
    <cellStyle name="Normal 3 2 2" xfId="111"/>
    <cellStyle name="Normal 3 2 3" xfId="140"/>
    <cellStyle name="Normal 3 2 3 2" xfId="141"/>
    <cellStyle name="Normal 3 3" xfId="112"/>
    <cellStyle name="Normal 3_Laporan Bulanan 2013" xfId="142"/>
    <cellStyle name="Normal 31 56" xfId="113"/>
    <cellStyle name="Normal 35" xfId="143"/>
    <cellStyle name="Normal 4" xfId="114"/>
    <cellStyle name="Normal 4 2" xfId="136"/>
    <cellStyle name="Normal 5" xfId="115"/>
    <cellStyle name="Normal 6" xfId="116"/>
    <cellStyle name="Normal 6 2" xfId="117"/>
    <cellStyle name="Normal 7" xfId="118"/>
    <cellStyle name="Normal 7 2" xfId="130"/>
    <cellStyle name="Normal 7 3" xfId="131"/>
    <cellStyle name="Normal 8" xfId="119"/>
    <cellStyle name="Normal 8 2" xfId="120"/>
    <cellStyle name="Normal 9" xfId="121"/>
    <cellStyle name="Normal_rka 2010 PJSF 2 2 3" xfId="132"/>
    <cellStyle name="Normal_Sheet1" xfId="1"/>
    <cellStyle name="Percent 2" xfId="122"/>
    <cellStyle name="Result" xfId="123"/>
    <cellStyle name="Result2" xfId="1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kret/Rapat%20Koordinasi%20dan%20konsultas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kret/Pemel.%20rutin%20berkala%20gd%20kanto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ekret/Pemel%20Rutin%20Kendaraan%20Dinas%20Operasio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/Penataan%20dan%20Rekrutmen%20Pegawa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/2019/kirim%20ke%20PPTK/PDIK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/2019/RKAEfisiensi2019/new/kesra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PA/Pembinaan%20dan%20Kesejahteraan%20Pegawa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Diklat/Penyelenggaraan%20Dikla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/2019/rka2019last/ploting+fisik+tatakala/PPDsesuaiD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ordkonsul"/>
      <sheetName val="001,018"/>
      <sheetName val="ttkl"/>
    </sheetNames>
    <sheetDataSet>
      <sheetData sheetId="0" refreshError="1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dung"/>
      <sheetName val="fisik"/>
      <sheetName val="ttkl"/>
      <sheetName val="fisik (2)"/>
    </sheetNames>
    <sheetDataSet>
      <sheetData sheetId="0">
        <row r="32">
          <cell r="S32">
            <v>25000000</v>
          </cell>
        </row>
        <row r="35">
          <cell r="S35">
            <v>113632000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ik"/>
      <sheetName val="ttkl"/>
      <sheetName val="keu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oting anggaran Rekrutmen  (2"/>
      <sheetName val="Target Fisik"/>
      <sheetName val="perkeluaran"/>
      <sheetName val="Tatakala Subbid Rekruitmen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ka"/>
      <sheetName val="Tabel 4.1 renja"/>
      <sheetName val="FISIK OK"/>
      <sheetName val="tatakala"/>
      <sheetName val="rka (2)"/>
    </sheetNames>
    <sheetDataSet>
      <sheetData sheetId="0">
        <row r="19">
          <cell r="AN19">
            <v>1160000</v>
          </cell>
        </row>
        <row r="20">
          <cell r="AN20">
            <v>2760000</v>
          </cell>
        </row>
        <row r="21">
          <cell r="AN21">
            <v>1160000</v>
          </cell>
        </row>
        <row r="22">
          <cell r="AN22">
            <v>17250000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garan per KGT"/>
      <sheetName val="tatakala"/>
      <sheetName val="target fisik"/>
      <sheetName val="ploting 2019 (EFISIENSI)"/>
      <sheetName val="bina kesra 25917 (EFISIENSI)"/>
      <sheetName val="ploting 2019 (EFISIENSI) (2)"/>
    </sheetNames>
    <sheetDataSet>
      <sheetData sheetId="0">
        <row r="36">
          <cell r="W36">
            <v>10155000</v>
          </cell>
        </row>
        <row r="46">
          <cell r="W46">
            <v>6693000</v>
          </cell>
        </row>
        <row r="52">
          <cell r="W52">
            <v>11985000</v>
          </cell>
        </row>
        <row r="61">
          <cell r="W61">
            <v>30952000</v>
          </cell>
        </row>
        <row r="70">
          <cell r="W70">
            <v>18595000</v>
          </cell>
        </row>
        <row r="83">
          <cell r="W83">
            <v>59585000</v>
          </cell>
        </row>
        <row r="105">
          <cell r="W105">
            <v>136134000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oting 2019 (EFISIENSI) (2)"/>
      <sheetName val="target fisik"/>
      <sheetName val="tatakala"/>
      <sheetName val="Perkeluaran"/>
    </sheetNames>
    <sheetDataSet>
      <sheetData sheetId="0" refreshError="1"/>
      <sheetData sheetId="1">
        <row r="6">
          <cell r="D6">
            <v>274099000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 RKA 2019"/>
      <sheetName val="renc trgt fisik blnn"/>
      <sheetName val="tatakala"/>
      <sheetName val="Feb'19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KA Th 2019 yg dipakai (2)"/>
      <sheetName val="RKA Th 2019 yg dipakai"/>
      <sheetName val="RKA Plotingan "/>
      <sheetName val="renc trgt fisik blnn"/>
      <sheetName val="Jan"/>
      <sheetName val="TRIB I"/>
      <sheetName val="ADM"/>
      <sheetName val="Tata Kala"/>
      <sheetName val="renc trgt fisik blnn (2)"/>
    </sheetNames>
    <sheetDataSet>
      <sheetData sheetId="0">
        <row r="34">
          <cell r="Q34">
            <v>472614000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W37"/>
  <sheetViews>
    <sheetView topLeftCell="A4" zoomScale="85" zoomScaleNormal="85" zoomScaleSheetLayoutView="100" workbookViewId="0">
      <selection activeCell="C26" sqref="C26:D26"/>
    </sheetView>
  </sheetViews>
  <sheetFormatPr defaultRowHeight="12.75"/>
  <cols>
    <col min="1" max="1" width="0.5703125" style="9" customWidth="1"/>
    <col min="2" max="2" width="29.5703125" style="9" customWidth="1"/>
    <col min="3" max="3" width="5.7109375" style="9" customWidth="1"/>
    <col min="4" max="4" width="4.42578125" style="9" customWidth="1"/>
    <col min="5" max="5" width="7.85546875" style="9" customWidth="1"/>
    <col min="6" max="6" width="9" style="9" bestFit="1" customWidth="1"/>
    <col min="7" max="7" width="7.140625" style="9" customWidth="1"/>
    <col min="8" max="8" width="7.5703125" style="9" customWidth="1"/>
    <col min="9" max="9" width="6.7109375" style="9" customWidth="1"/>
    <col min="10" max="10" width="7.42578125" style="9" customWidth="1"/>
    <col min="11" max="11" width="7" style="9" customWidth="1"/>
    <col min="12" max="13" width="7.28515625" style="9" customWidth="1"/>
    <col min="14" max="14" width="7.140625" style="9" customWidth="1"/>
    <col min="15" max="15" width="7.28515625" style="9" customWidth="1"/>
    <col min="16" max="16" width="7" style="9" customWidth="1"/>
    <col min="17" max="17" width="8.42578125" style="9" customWidth="1"/>
    <col min="18" max="18" width="12.85546875" style="9" bestFit="1" customWidth="1"/>
    <col min="19" max="19" width="8.28515625" style="9" customWidth="1"/>
    <col min="20" max="20" width="9.28515625" style="9" customWidth="1"/>
    <col min="21" max="16384" width="9.140625" style="9"/>
  </cols>
  <sheetData>
    <row r="1" spans="2:23" s="2" customFormat="1" ht="15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3" s="2" customFormat="1" ht="15.7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3" s="4" customFormat="1" ht="16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3" s="4" customFormat="1">
      <c r="B4" s="3" t="s">
        <v>2</v>
      </c>
      <c r="C4" s="5" t="s">
        <v>3</v>
      </c>
      <c r="D4" s="3" t="s">
        <v>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T4" s="3"/>
    </row>
    <row r="5" spans="2:23" s="4" customFormat="1">
      <c r="B5" s="3" t="s">
        <v>5</v>
      </c>
      <c r="C5" s="5" t="s">
        <v>3</v>
      </c>
      <c r="D5" s="3" t="s">
        <v>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T5" s="3"/>
    </row>
    <row r="6" spans="2:23" s="4" customFormat="1">
      <c r="B6" s="3" t="s">
        <v>7</v>
      </c>
      <c r="C6" s="6" t="s">
        <v>3</v>
      </c>
      <c r="D6" s="7">
        <f>SUM(R14)</f>
        <v>282855000</v>
      </c>
      <c r="E6" s="7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3" ht="12.75" customHeight="1" thickBo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2:23" s="4" customFormat="1" ht="18.75" customHeight="1">
      <c r="B8" s="10" t="s">
        <v>8</v>
      </c>
      <c r="C8" s="11" t="s">
        <v>9</v>
      </c>
      <c r="D8" s="12"/>
      <c r="E8" s="13" t="s">
        <v>10</v>
      </c>
      <c r="F8" s="14" t="s">
        <v>11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3" t="s">
        <v>7</v>
      </c>
      <c r="S8" s="13" t="s">
        <v>12</v>
      </c>
      <c r="T8" s="17" t="s">
        <v>13</v>
      </c>
    </row>
    <row r="9" spans="2:23" s="4" customFormat="1">
      <c r="B9" s="18"/>
      <c r="C9" s="19"/>
      <c r="D9" s="20"/>
      <c r="E9" s="21"/>
      <c r="F9" s="22" t="s">
        <v>14</v>
      </c>
      <c r="G9" s="23"/>
      <c r="H9" s="24"/>
      <c r="I9" s="22" t="s">
        <v>15</v>
      </c>
      <c r="J9" s="23"/>
      <c r="K9" s="24"/>
      <c r="L9" s="22" t="s">
        <v>16</v>
      </c>
      <c r="M9" s="23"/>
      <c r="N9" s="24"/>
      <c r="O9" s="22" t="s">
        <v>17</v>
      </c>
      <c r="P9" s="23"/>
      <c r="Q9" s="24"/>
      <c r="R9" s="21"/>
      <c r="S9" s="21"/>
      <c r="T9" s="25" t="s">
        <v>18</v>
      </c>
    </row>
    <row r="10" spans="2:23" s="4" customFormat="1">
      <c r="B10" s="18"/>
      <c r="C10" s="19"/>
      <c r="D10" s="20"/>
      <c r="E10" s="21"/>
      <c r="F10" s="26" t="s">
        <v>19</v>
      </c>
      <c r="G10" s="26" t="s">
        <v>20</v>
      </c>
      <c r="H10" s="26" t="s">
        <v>21</v>
      </c>
      <c r="I10" s="26" t="s">
        <v>22</v>
      </c>
      <c r="J10" s="26" t="s">
        <v>23</v>
      </c>
      <c r="K10" s="26" t="s">
        <v>24</v>
      </c>
      <c r="L10" s="26" t="s">
        <v>25</v>
      </c>
      <c r="M10" s="26" t="s">
        <v>26</v>
      </c>
      <c r="N10" s="26" t="s">
        <v>27</v>
      </c>
      <c r="O10" s="26" t="s">
        <v>28</v>
      </c>
      <c r="P10" s="26" t="s">
        <v>29</v>
      </c>
      <c r="Q10" s="26" t="s">
        <v>30</v>
      </c>
      <c r="R10" s="21"/>
      <c r="S10" s="21"/>
      <c r="T10" s="25"/>
    </row>
    <row r="11" spans="2:23" s="4" customFormat="1" ht="9" customHeight="1">
      <c r="B11" s="27"/>
      <c r="C11" s="28"/>
      <c r="D11" s="29"/>
      <c r="E11" s="30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31" t="s">
        <v>31</v>
      </c>
      <c r="S11" s="31" t="s">
        <v>31</v>
      </c>
      <c r="T11" s="32" t="s">
        <v>32</v>
      </c>
    </row>
    <row r="12" spans="2:23" s="39" customFormat="1" ht="12" customHeight="1">
      <c r="B12" s="33">
        <v>1</v>
      </c>
      <c r="C12" s="34">
        <v>2</v>
      </c>
      <c r="D12" s="35"/>
      <c r="E12" s="36">
        <v>3</v>
      </c>
      <c r="F12" s="36">
        <v>4</v>
      </c>
      <c r="G12" s="36">
        <v>5</v>
      </c>
      <c r="H12" s="36">
        <v>6</v>
      </c>
      <c r="I12" s="36">
        <v>7</v>
      </c>
      <c r="J12" s="36">
        <v>8</v>
      </c>
      <c r="K12" s="36">
        <v>9</v>
      </c>
      <c r="L12" s="36">
        <v>10</v>
      </c>
      <c r="M12" s="36">
        <v>11</v>
      </c>
      <c r="N12" s="36">
        <v>12</v>
      </c>
      <c r="O12" s="36">
        <v>13</v>
      </c>
      <c r="P12" s="36">
        <v>14</v>
      </c>
      <c r="Q12" s="36">
        <v>15</v>
      </c>
      <c r="R12" s="37">
        <v>16</v>
      </c>
      <c r="S12" s="37">
        <v>17</v>
      </c>
      <c r="T12" s="38">
        <v>18</v>
      </c>
    </row>
    <row r="13" spans="2:23" s="4" customFormat="1" ht="11.25" customHeight="1">
      <c r="B13" s="40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  <c r="S13" s="43"/>
      <c r="T13" s="44"/>
    </row>
    <row r="14" spans="2:23" s="4" customFormat="1" ht="31.5" customHeight="1">
      <c r="B14" s="45" t="str">
        <f>D5</f>
        <v>Penyediaan Rapat-rapat Koordinasi dan Konsultasi</v>
      </c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8">
        <f>R15+R20</f>
        <v>282855000</v>
      </c>
      <c r="S14" s="48"/>
      <c r="T14" s="49">
        <v>100</v>
      </c>
    </row>
    <row r="15" spans="2:23" s="4" customFormat="1" ht="24" customHeight="1">
      <c r="B15" s="50" t="s">
        <v>33</v>
      </c>
      <c r="C15" s="51">
        <v>32</v>
      </c>
      <c r="D15" s="52" t="s">
        <v>34</v>
      </c>
      <c r="E15" s="53" t="s">
        <v>35</v>
      </c>
      <c r="F15" s="54">
        <v>2</v>
      </c>
      <c r="G15" s="55">
        <v>3</v>
      </c>
      <c r="H15" s="55">
        <v>3</v>
      </c>
      <c r="I15" s="55">
        <v>3</v>
      </c>
      <c r="J15" s="55">
        <v>1</v>
      </c>
      <c r="K15" s="55">
        <v>0</v>
      </c>
      <c r="L15" s="55">
        <v>4</v>
      </c>
      <c r="M15" s="55">
        <v>4</v>
      </c>
      <c r="N15" s="55">
        <v>3</v>
      </c>
      <c r="O15" s="55">
        <v>4</v>
      </c>
      <c r="P15" s="55">
        <v>3</v>
      </c>
      <c r="Q15" s="55">
        <v>2</v>
      </c>
      <c r="R15" s="56">
        <v>24855000</v>
      </c>
      <c r="S15" s="56"/>
      <c r="T15" s="57">
        <f>(R15/R14)*100</f>
        <v>8.7871877817256188</v>
      </c>
      <c r="W15" s="4">
        <f>SUM(F15:Q15)</f>
        <v>32</v>
      </c>
    </row>
    <row r="16" spans="2:23" s="4" customFormat="1" ht="15" customHeight="1">
      <c r="B16" s="58" t="s">
        <v>36</v>
      </c>
      <c r="C16" s="59">
        <v>32</v>
      </c>
      <c r="D16" s="60"/>
      <c r="E16" s="61"/>
      <c r="F16" s="62">
        <f>F15/$C$16*100</f>
        <v>6.25</v>
      </c>
      <c r="G16" s="62">
        <f>G15/$C$16*100</f>
        <v>9.375</v>
      </c>
      <c r="H16" s="62">
        <f t="shared" ref="H16:Q16" si="0">H15/$C$16*100</f>
        <v>9.375</v>
      </c>
      <c r="I16" s="62">
        <f t="shared" si="0"/>
        <v>9.375</v>
      </c>
      <c r="J16" s="62">
        <f t="shared" si="0"/>
        <v>3.125</v>
      </c>
      <c r="K16" s="62">
        <f t="shared" si="0"/>
        <v>0</v>
      </c>
      <c r="L16" s="62">
        <f t="shared" si="0"/>
        <v>12.5</v>
      </c>
      <c r="M16" s="62">
        <f t="shared" si="0"/>
        <v>12.5</v>
      </c>
      <c r="N16" s="62">
        <f t="shared" si="0"/>
        <v>9.375</v>
      </c>
      <c r="O16" s="62">
        <f t="shared" si="0"/>
        <v>12.5</v>
      </c>
      <c r="P16" s="62">
        <f t="shared" si="0"/>
        <v>9.375</v>
      </c>
      <c r="Q16" s="62">
        <f t="shared" si="0"/>
        <v>6.25</v>
      </c>
      <c r="R16" s="63"/>
      <c r="S16" s="63"/>
      <c r="T16" s="64"/>
    </row>
    <row r="17" spans="2:20" s="4" customFormat="1" ht="15" customHeight="1">
      <c r="B17" s="58" t="s">
        <v>37</v>
      </c>
      <c r="C17" s="65"/>
      <c r="D17" s="60"/>
      <c r="E17" s="61"/>
      <c r="F17" s="62">
        <f>SUM($F$16:F16)</f>
        <v>6.25</v>
      </c>
      <c r="G17" s="62">
        <f>SUM($F$16:G16)</f>
        <v>15.625</v>
      </c>
      <c r="H17" s="62">
        <f>SUM($F$16:H16)</f>
        <v>25</v>
      </c>
      <c r="I17" s="62">
        <f>SUM($F$16:I16)</f>
        <v>34.375</v>
      </c>
      <c r="J17" s="62">
        <f>SUM($F$16:J16)</f>
        <v>37.5</v>
      </c>
      <c r="K17" s="62">
        <f>SUM($F$16:K16)</f>
        <v>37.5</v>
      </c>
      <c r="L17" s="62">
        <f>SUM($F$16:L16)</f>
        <v>50</v>
      </c>
      <c r="M17" s="62">
        <f>SUM($F$16:M16)</f>
        <v>62.5</v>
      </c>
      <c r="N17" s="62">
        <f>SUM($F$16:N16)</f>
        <v>71.875</v>
      </c>
      <c r="O17" s="62">
        <f>SUM($F$16:O16)</f>
        <v>84.375</v>
      </c>
      <c r="P17" s="62">
        <f>SUM($F$16:P16)</f>
        <v>93.75</v>
      </c>
      <c r="Q17" s="62">
        <f>SUM($F$16:Q16)</f>
        <v>100</v>
      </c>
      <c r="R17" s="66"/>
      <c r="S17" s="66"/>
      <c r="T17" s="64"/>
    </row>
    <row r="18" spans="2:20" s="4" customFormat="1" ht="15" customHeight="1">
      <c r="B18" s="58" t="s">
        <v>38</v>
      </c>
      <c r="C18" s="65"/>
      <c r="D18" s="60"/>
      <c r="E18" s="61"/>
      <c r="F18" s="62">
        <f>F16*$T$15/100</f>
        <v>0.54919923635785117</v>
      </c>
      <c r="G18" s="62">
        <f>G16*$T$15/100</f>
        <v>0.8237988545367767</v>
      </c>
      <c r="H18" s="62">
        <f t="shared" ref="H18:P18" si="1">H16*$T$15/100</f>
        <v>0.8237988545367767</v>
      </c>
      <c r="I18" s="62">
        <f t="shared" si="1"/>
        <v>0.8237988545367767</v>
      </c>
      <c r="J18" s="62">
        <f t="shared" si="1"/>
        <v>0.27459961817892559</v>
      </c>
      <c r="K18" s="62">
        <f t="shared" si="1"/>
        <v>0</v>
      </c>
      <c r="L18" s="62">
        <f t="shared" si="1"/>
        <v>1.0983984727157023</v>
      </c>
      <c r="M18" s="62">
        <f t="shared" si="1"/>
        <v>1.0983984727157023</v>
      </c>
      <c r="N18" s="62">
        <f t="shared" si="1"/>
        <v>0.8237988545367767</v>
      </c>
      <c r="O18" s="62">
        <f t="shared" si="1"/>
        <v>1.0983984727157023</v>
      </c>
      <c r="P18" s="62">
        <f t="shared" si="1"/>
        <v>0.8237988545367767</v>
      </c>
      <c r="Q18" s="62">
        <f>Q16*$T$15/100</f>
        <v>0.54919923635785117</v>
      </c>
      <c r="R18" s="66"/>
      <c r="S18" s="66"/>
      <c r="T18" s="64"/>
    </row>
    <row r="19" spans="2:20" s="4" customFormat="1" ht="15" customHeight="1">
      <c r="B19" s="58"/>
      <c r="C19" s="65"/>
      <c r="D19" s="60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6"/>
      <c r="S19" s="66"/>
      <c r="T19" s="64"/>
    </row>
    <row r="20" spans="2:20" s="4" customFormat="1" ht="15" customHeight="1">
      <c r="B20" s="50" t="s">
        <v>39</v>
      </c>
      <c r="C20" s="51">
        <v>40</v>
      </c>
      <c r="D20" s="52" t="s">
        <v>40</v>
      </c>
      <c r="E20" s="53" t="s">
        <v>35</v>
      </c>
      <c r="F20" s="54">
        <v>2</v>
      </c>
      <c r="G20" s="55">
        <v>7</v>
      </c>
      <c r="H20" s="55">
        <v>5</v>
      </c>
      <c r="I20" s="55">
        <v>2</v>
      </c>
      <c r="J20" s="55">
        <v>3</v>
      </c>
      <c r="K20" s="55">
        <v>3</v>
      </c>
      <c r="L20" s="55">
        <v>4</v>
      </c>
      <c r="M20" s="55">
        <v>5</v>
      </c>
      <c r="N20" s="55">
        <v>2</v>
      </c>
      <c r="O20" s="55">
        <v>1</v>
      </c>
      <c r="P20" s="55">
        <v>4</v>
      </c>
      <c r="Q20" s="55">
        <v>2</v>
      </c>
      <c r="R20" s="56">
        <v>258000000</v>
      </c>
      <c r="S20" s="56"/>
      <c r="T20" s="57">
        <f>(R20/R14)*100</f>
        <v>91.212812218274379</v>
      </c>
    </row>
    <row r="21" spans="2:20" s="4" customFormat="1" ht="15" customHeight="1">
      <c r="B21" s="58" t="s">
        <v>36</v>
      </c>
      <c r="C21" s="59">
        <v>40</v>
      </c>
      <c r="D21" s="60"/>
      <c r="E21" s="61"/>
      <c r="F21" s="62">
        <f>F20/$C$21*100</f>
        <v>5</v>
      </c>
      <c r="G21" s="62">
        <f t="shared" ref="G21:Q21" si="2">G20/$C$21*100</f>
        <v>17.5</v>
      </c>
      <c r="H21" s="62">
        <f t="shared" si="2"/>
        <v>12.5</v>
      </c>
      <c r="I21" s="62">
        <f t="shared" si="2"/>
        <v>5</v>
      </c>
      <c r="J21" s="62">
        <f t="shared" si="2"/>
        <v>7.5</v>
      </c>
      <c r="K21" s="62">
        <f t="shared" si="2"/>
        <v>7.5</v>
      </c>
      <c r="L21" s="62">
        <f t="shared" si="2"/>
        <v>10</v>
      </c>
      <c r="M21" s="62">
        <f t="shared" si="2"/>
        <v>12.5</v>
      </c>
      <c r="N21" s="62">
        <f t="shared" si="2"/>
        <v>5</v>
      </c>
      <c r="O21" s="62">
        <f t="shared" si="2"/>
        <v>2.5</v>
      </c>
      <c r="P21" s="62">
        <f t="shared" si="2"/>
        <v>10</v>
      </c>
      <c r="Q21" s="62">
        <f t="shared" si="2"/>
        <v>5</v>
      </c>
      <c r="R21" s="63"/>
      <c r="S21" s="63"/>
      <c r="T21" s="64"/>
    </row>
    <row r="22" spans="2:20" s="4" customFormat="1" ht="15" customHeight="1">
      <c r="B22" s="58" t="s">
        <v>37</v>
      </c>
      <c r="C22" s="65"/>
      <c r="D22" s="60"/>
      <c r="E22" s="61"/>
      <c r="F22" s="62">
        <f>SUM($F$21:F21)</f>
        <v>5</v>
      </c>
      <c r="G22" s="62">
        <f>SUM($F$21:G21)</f>
        <v>22.5</v>
      </c>
      <c r="H22" s="62">
        <f>SUM($F$21:H21)</f>
        <v>35</v>
      </c>
      <c r="I22" s="62">
        <f>SUM($F$21:I21)</f>
        <v>40</v>
      </c>
      <c r="J22" s="62">
        <f>SUM($F$21:J21)</f>
        <v>47.5</v>
      </c>
      <c r="K22" s="62">
        <f>SUM($F$21:K21)</f>
        <v>55</v>
      </c>
      <c r="L22" s="62">
        <f>SUM($F$21:L21)</f>
        <v>65</v>
      </c>
      <c r="M22" s="62">
        <f>SUM($F$21:M21)</f>
        <v>77.5</v>
      </c>
      <c r="N22" s="62">
        <f>SUM($F$21:N21)</f>
        <v>82.5</v>
      </c>
      <c r="O22" s="62">
        <f>SUM($F$21:O21)</f>
        <v>85</v>
      </c>
      <c r="P22" s="62">
        <f>SUM($F$21:P21)</f>
        <v>95</v>
      </c>
      <c r="Q22" s="62">
        <f>SUM($F$21:Q21)</f>
        <v>100</v>
      </c>
      <c r="R22" s="66"/>
      <c r="S22" s="66"/>
      <c r="T22" s="64"/>
    </row>
    <row r="23" spans="2:20" s="4" customFormat="1" ht="15" customHeight="1">
      <c r="B23" s="58" t="s">
        <v>38</v>
      </c>
      <c r="C23" s="65"/>
      <c r="D23" s="60"/>
      <c r="E23" s="61"/>
      <c r="F23" s="62">
        <f>F21*$T$20/100</f>
        <v>4.560640610913719</v>
      </c>
      <c r="G23" s="62">
        <f t="shared" ref="G23:Q23" si="3">G21*$T$20/100</f>
        <v>15.962242138198016</v>
      </c>
      <c r="H23" s="62">
        <f t="shared" si="3"/>
        <v>11.401601527284297</v>
      </c>
      <c r="I23" s="62">
        <f t="shared" si="3"/>
        <v>4.560640610913719</v>
      </c>
      <c r="J23" s="62">
        <f t="shared" si="3"/>
        <v>6.8409609163705785</v>
      </c>
      <c r="K23" s="62">
        <f t="shared" si="3"/>
        <v>6.8409609163705785</v>
      </c>
      <c r="L23" s="62">
        <f t="shared" si="3"/>
        <v>9.1212812218274379</v>
      </c>
      <c r="M23" s="62">
        <f t="shared" si="3"/>
        <v>11.401601527284297</v>
      </c>
      <c r="N23" s="62">
        <f t="shared" si="3"/>
        <v>4.560640610913719</v>
      </c>
      <c r="O23" s="62">
        <f t="shared" si="3"/>
        <v>2.2803203054568595</v>
      </c>
      <c r="P23" s="62">
        <f t="shared" si="3"/>
        <v>9.1212812218274379</v>
      </c>
      <c r="Q23" s="62">
        <f t="shared" si="3"/>
        <v>4.560640610913719</v>
      </c>
      <c r="R23" s="66"/>
      <c r="S23" s="66"/>
      <c r="T23" s="64"/>
    </row>
    <row r="24" spans="2:20" s="4" customFormat="1" ht="15" customHeight="1">
      <c r="B24" s="58"/>
      <c r="C24" s="65"/>
      <c r="D24" s="60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6"/>
      <c r="S24" s="66"/>
      <c r="T24" s="64"/>
    </row>
    <row r="25" spans="2:20" s="4" customFormat="1" ht="20.25" customHeight="1">
      <c r="B25" s="67"/>
      <c r="C25" s="65"/>
      <c r="D25" s="60"/>
      <c r="E25" s="61"/>
      <c r="F25" s="6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6"/>
      <c r="S25" s="66"/>
      <c r="T25" s="64"/>
    </row>
    <row r="26" spans="2:20" s="77" customFormat="1" ht="18" customHeight="1" thickBot="1">
      <c r="B26" s="70" t="s">
        <v>41</v>
      </c>
      <c r="C26" s="71"/>
      <c r="D26" s="72"/>
      <c r="E26" s="73"/>
      <c r="F26" s="74">
        <f>F18+F23</f>
        <v>5.1098398472715703</v>
      </c>
      <c r="G26" s="74">
        <f t="shared" ref="G26:Q26" si="4">G18+G23</f>
        <v>16.786040992734794</v>
      </c>
      <c r="H26" s="74">
        <f t="shared" si="4"/>
        <v>12.225400381821075</v>
      </c>
      <c r="I26" s="74">
        <f t="shared" si="4"/>
        <v>5.3844394654504955</v>
      </c>
      <c r="J26" s="74">
        <f t="shared" si="4"/>
        <v>7.1155605345495037</v>
      </c>
      <c r="K26" s="74">
        <f t="shared" si="4"/>
        <v>6.8409609163705785</v>
      </c>
      <c r="L26" s="74">
        <f t="shared" si="4"/>
        <v>10.219679694543141</v>
      </c>
      <c r="M26" s="74">
        <f t="shared" si="4"/>
        <v>12.5</v>
      </c>
      <c r="N26" s="74">
        <f t="shared" si="4"/>
        <v>5.3844394654504955</v>
      </c>
      <c r="O26" s="74">
        <f t="shared" si="4"/>
        <v>3.3787187781725621</v>
      </c>
      <c r="P26" s="74">
        <f t="shared" si="4"/>
        <v>9.9450800763642153</v>
      </c>
      <c r="Q26" s="74">
        <f t="shared" si="4"/>
        <v>5.1098398472715703</v>
      </c>
      <c r="R26" s="75"/>
      <c r="S26" s="75"/>
      <c r="T26" s="76"/>
    </row>
    <row r="27" spans="2:20" s="77" customFormat="1" ht="18" customHeight="1" thickTop="1" thickBot="1">
      <c r="B27" s="78" t="s">
        <v>42</v>
      </c>
      <c r="C27" s="79"/>
      <c r="D27" s="79"/>
      <c r="E27" s="80"/>
      <c r="F27" s="81">
        <f>SUM(F26)</f>
        <v>5.1098398472715703</v>
      </c>
      <c r="G27" s="81">
        <f>SUM(F26:G26)</f>
        <v>21.895880840006363</v>
      </c>
      <c r="H27" s="81">
        <f>SUM(F26:H26)</f>
        <v>34.121281221827438</v>
      </c>
      <c r="I27" s="81">
        <f>SUM(F26:I26)</f>
        <v>39.505720687277936</v>
      </c>
      <c r="J27" s="81">
        <f>SUM(F26:J26)</f>
        <v>46.621281221827438</v>
      </c>
      <c r="K27" s="81">
        <f>SUM(F26:K26)</f>
        <v>53.462242138198015</v>
      </c>
      <c r="L27" s="81">
        <f>SUM(F26:L26)</f>
        <v>63.681921832741153</v>
      </c>
      <c r="M27" s="81">
        <f>SUM(F26:M26)</f>
        <v>76.181921832741153</v>
      </c>
      <c r="N27" s="81">
        <f>SUM(F26:N26)</f>
        <v>81.566361298191651</v>
      </c>
      <c r="O27" s="81">
        <f>SUM(F26:O26)</f>
        <v>84.945080076364206</v>
      </c>
      <c r="P27" s="81">
        <f>SUM(F26:P26)</f>
        <v>94.890160152728427</v>
      </c>
      <c r="Q27" s="81">
        <f>SUM(F26:Q26)</f>
        <v>100</v>
      </c>
      <c r="R27" s="80"/>
      <c r="S27" s="80"/>
      <c r="T27" s="82"/>
    </row>
    <row r="28" spans="2:20" ht="6.75" customHeight="1">
      <c r="B28" s="83"/>
      <c r="C28" s="84"/>
      <c r="D28" s="84"/>
      <c r="E28" s="84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  <c r="R28" s="84"/>
      <c r="S28" s="84"/>
      <c r="T28" s="87"/>
    </row>
    <row r="29" spans="2:20" s="4" customFormat="1" ht="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9" t="s">
        <v>43</v>
      </c>
    </row>
    <row r="30" spans="2:20" s="4" customFormat="1" ht="13.5" customHeight="1">
      <c r="C30" s="90" t="s">
        <v>44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88"/>
      <c r="T30" s="90"/>
    </row>
    <row r="31" spans="2:20" s="4" customFormat="1" ht="15">
      <c r="C31" s="91" t="s">
        <v>45</v>
      </c>
      <c r="D31" s="90"/>
      <c r="E31" s="90"/>
      <c r="F31" s="90"/>
      <c r="G31" s="90"/>
      <c r="H31" s="90"/>
      <c r="I31" s="90"/>
      <c r="J31" s="90"/>
      <c r="K31" s="92"/>
      <c r="L31" s="90"/>
      <c r="M31" s="90"/>
      <c r="N31" s="90"/>
      <c r="O31" s="90"/>
      <c r="P31" s="90"/>
      <c r="Q31" s="90" t="s">
        <v>46</v>
      </c>
    </row>
    <row r="32" spans="2:20" s="4" customFormat="1" ht="9.75" customHeight="1">
      <c r="C32" s="91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88"/>
      <c r="T32" s="90"/>
    </row>
    <row r="33" spans="2:20" s="4" customFormat="1" ht="9" customHeight="1">
      <c r="C33" s="91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88"/>
      <c r="T33" s="90"/>
    </row>
    <row r="34" spans="2:20" s="4" customFormat="1" ht="9.75" customHeight="1">
      <c r="C34" s="91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88"/>
      <c r="T34" s="90"/>
    </row>
    <row r="35" spans="2:20" s="4" customFormat="1" ht="15">
      <c r="C35" s="93" t="s">
        <v>47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 t="s">
        <v>48</v>
      </c>
    </row>
    <row r="36" spans="2:20" s="4" customFormat="1" ht="15">
      <c r="C36" s="91" t="s">
        <v>49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 t="s">
        <v>50</v>
      </c>
    </row>
    <row r="37" spans="2:20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5"/>
      <c r="S37" s="95"/>
      <c r="T37" s="8"/>
    </row>
  </sheetData>
  <mergeCells count="16">
    <mergeCell ref="I9:K9"/>
    <mergeCell ref="L9:N9"/>
    <mergeCell ref="O9:Q9"/>
    <mergeCell ref="T9:T10"/>
    <mergeCell ref="C12:D12"/>
    <mergeCell ref="C26:D26"/>
    <mergeCell ref="B1:T1"/>
    <mergeCell ref="B2:T2"/>
    <mergeCell ref="D6:F6"/>
    <mergeCell ref="B8:B11"/>
    <mergeCell ref="C8:D11"/>
    <mergeCell ref="E8:E11"/>
    <mergeCell ref="F8:Q8"/>
    <mergeCell ref="R8:R10"/>
    <mergeCell ref="S8:S10"/>
    <mergeCell ref="F9:H9"/>
  </mergeCells>
  <printOptions horizontalCentered="1"/>
  <pageMargins left="0" right="0.27559055118110237" top="0.23622047244094491" bottom="0.23622047244094491" header="0.19685039370078741" footer="0.11811023622047245"/>
  <pageSetup paperSize="256" scale="95" fitToHeight="3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7"/>
  <sheetViews>
    <sheetView workbookViewId="0">
      <selection activeCell="E21" sqref="E21"/>
    </sheetView>
  </sheetViews>
  <sheetFormatPr defaultRowHeight="15"/>
  <cols>
    <col min="2" max="2" width="22.28515625" customWidth="1"/>
  </cols>
  <sheetData>
    <row r="1" spans="2:32" ht="15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711"/>
      <c r="AD1" s="711"/>
      <c r="AE1" s="711"/>
      <c r="AF1" s="711"/>
    </row>
    <row r="2" spans="2:32" ht="15.7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711"/>
      <c r="AD2" s="711"/>
      <c r="AE2" s="711"/>
      <c r="AF2" s="711"/>
    </row>
    <row r="3" spans="2:32"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9"/>
      <c r="V3" s="707"/>
      <c r="W3" s="707"/>
      <c r="X3" s="707"/>
      <c r="Y3" s="707"/>
      <c r="Z3" s="707"/>
      <c r="AA3" s="707"/>
      <c r="AB3" s="707"/>
      <c r="AC3" s="592"/>
      <c r="AD3" s="592"/>
      <c r="AE3" s="592"/>
      <c r="AF3" s="592"/>
    </row>
    <row r="4" spans="2:32">
      <c r="B4" s="707" t="s">
        <v>2</v>
      </c>
      <c r="C4" s="709" t="s">
        <v>3</v>
      </c>
      <c r="D4" s="707" t="s">
        <v>4</v>
      </c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592"/>
      <c r="S4" s="592"/>
      <c r="T4" s="707"/>
      <c r="U4" s="709"/>
      <c r="V4" s="707"/>
      <c r="W4" s="707"/>
      <c r="X4" s="707"/>
      <c r="Y4" s="707"/>
      <c r="Z4" s="707"/>
      <c r="AA4" s="707"/>
      <c r="AB4" s="707"/>
      <c r="AC4" s="592"/>
      <c r="AD4" s="592"/>
      <c r="AE4" s="592"/>
      <c r="AF4" s="592"/>
    </row>
    <row r="5" spans="2:32">
      <c r="B5" s="707" t="s">
        <v>5</v>
      </c>
      <c r="C5" s="709" t="s">
        <v>3</v>
      </c>
      <c r="D5" s="707" t="s">
        <v>195</v>
      </c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592"/>
      <c r="S5" s="592"/>
      <c r="T5" s="707"/>
      <c r="U5" s="709"/>
      <c r="V5" s="707"/>
      <c r="W5" s="707"/>
      <c r="X5" s="707"/>
      <c r="Y5" s="707"/>
      <c r="Z5" s="707"/>
      <c r="AA5" s="707"/>
      <c r="AB5" s="707"/>
      <c r="AC5" s="592"/>
      <c r="AD5" s="592"/>
      <c r="AE5" s="592"/>
      <c r="AF5" s="592"/>
    </row>
    <row r="6" spans="2:32">
      <c r="B6" s="707" t="s">
        <v>7</v>
      </c>
      <c r="C6" s="710" t="s">
        <v>3</v>
      </c>
      <c r="D6" s="584">
        <v>144400000</v>
      </c>
      <c r="E6" s="584"/>
      <c r="F6" s="584"/>
      <c r="G6" s="710"/>
      <c r="H6" s="710"/>
      <c r="I6" s="710"/>
      <c r="J6" s="710"/>
      <c r="K6" s="710"/>
      <c r="L6" s="710"/>
      <c r="M6" s="710"/>
      <c r="N6" s="710"/>
      <c r="O6" s="710"/>
      <c r="P6" s="710"/>
      <c r="Q6" s="710"/>
      <c r="R6" s="592"/>
      <c r="S6" s="592"/>
      <c r="T6" s="592"/>
      <c r="U6" s="709"/>
      <c r="V6" s="708"/>
      <c r="W6" s="708"/>
      <c r="X6" s="707"/>
      <c r="Y6" s="707"/>
      <c r="Z6" s="707"/>
      <c r="AA6" s="707"/>
      <c r="AB6" s="707"/>
      <c r="AC6" s="592"/>
      <c r="AD6" s="592"/>
      <c r="AE6" s="592"/>
      <c r="AF6" s="592"/>
    </row>
    <row r="7" spans="2:32" ht="15.75" thickBot="1"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91"/>
      <c r="V7" s="589"/>
      <c r="W7" s="589"/>
      <c r="X7" s="589"/>
      <c r="Y7" s="589"/>
      <c r="Z7" s="706"/>
      <c r="AA7" s="706"/>
      <c r="AB7" s="706"/>
      <c r="AC7" s="585"/>
      <c r="AD7" s="585"/>
      <c r="AE7" s="585"/>
      <c r="AF7" s="585"/>
    </row>
    <row r="8" spans="2:32" ht="15.75" thickTop="1">
      <c r="B8" s="445" t="s">
        <v>8</v>
      </c>
      <c r="C8" s="446" t="s">
        <v>9</v>
      </c>
      <c r="D8" s="447"/>
      <c r="E8" s="448" t="s">
        <v>10</v>
      </c>
      <c r="F8" s="449" t="s">
        <v>11</v>
      </c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1"/>
      <c r="R8" s="448" t="s">
        <v>7</v>
      </c>
      <c r="S8" s="448" t="s">
        <v>12</v>
      </c>
      <c r="T8" s="705" t="s">
        <v>13</v>
      </c>
      <c r="U8" s="453" t="s">
        <v>130</v>
      </c>
      <c r="V8" s="453"/>
      <c r="W8" s="453"/>
      <c r="X8" s="454"/>
      <c r="Y8" s="455" t="s">
        <v>131</v>
      </c>
      <c r="Z8" s="453"/>
      <c r="AA8" s="454"/>
      <c r="AB8" s="704"/>
      <c r="AC8" s="612"/>
      <c r="AD8" s="612"/>
      <c r="AE8" s="612"/>
      <c r="AF8" s="612"/>
    </row>
    <row r="9" spans="2:32">
      <c r="B9" s="458"/>
      <c r="C9" s="459"/>
      <c r="D9" s="460"/>
      <c r="E9" s="461"/>
      <c r="F9" s="462" t="s">
        <v>14</v>
      </c>
      <c r="G9" s="463"/>
      <c r="H9" s="464"/>
      <c r="I9" s="462" t="s">
        <v>15</v>
      </c>
      <c r="J9" s="463"/>
      <c r="K9" s="464"/>
      <c r="L9" s="462" t="s">
        <v>16</v>
      </c>
      <c r="M9" s="463"/>
      <c r="N9" s="464"/>
      <c r="O9" s="462" t="s">
        <v>17</v>
      </c>
      <c r="P9" s="463"/>
      <c r="Q9" s="464"/>
      <c r="R9" s="461"/>
      <c r="S9" s="461"/>
      <c r="T9" s="465" t="s">
        <v>18</v>
      </c>
      <c r="U9" s="466" t="s">
        <v>132</v>
      </c>
      <c r="V9" s="467"/>
      <c r="W9" s="698" t="s">
        <v>133</v>
      </c>
      <c r="X9" s="698" t="s">
        <v>134</v>
      </c>
      <c r="Y9" s="698" t="s">
        <v>133</v>
      </c>
      <c r="Z9" s="698" t="s">
        <v>135</v>
      </c>
      <c r="AA9" s="698" t="s">
        <v>136</v>
      </c>
      <c r="AB9" s="697" t="s">
        <v>137</v>
      </c>
      <c r="AC9" s="612"/>
      <c r="AD9" s="612"/>
      <c r="AE9" s="612"/>
      <c r="AF9" s="612"/>
    </row>
    <row r="10" spans="2:32">
      <c r="B10" s="458"/>
      <c r="C10" s="459"/>
      <c r="D10" s="460"/>
      <c r="E10" s="461"/>
      <c r="F10" s="703" t="s">
        <v>19</v>
      </c>
      <c r="G10" s="703" t="s">
        <v>20</v>
      </c>
      <c r="H10" s="703" t="s">
        <v>21</v>
      </c>
      <c r="I10" s="703" t="s">
        <v>22</v>
      </c>
      <c r="J10" s="703" t="s">
        <v>23</v>
      </c>
      <c r="K10" s="703" t="s">
        <v>24</v>
      </c>
      <c r="L10" s="703" t="s">
        <v>25</v>
      </c>
      <c r="M10" s="703" t="s">
        <v>26</v>
      </c>
      <c r="N10" s="703" t="s">
        <v>27</v>
      </c>
      <c r="O10" s="703" t="s">
        <v>28</v>
      </c>
      <c r="P10" s="703" t="s">
        <v>29</v>
      </c>
      <c r="Q10" s="703" t="s">
        <v>30</v>
      </c>
      <c r="R10" s="461"/>
      <c r="S10" s="461"/>
      <c r="T10" s="465"/>
      <c r="U10" s="471" t="s">
        <v>139</v>
      </c>
      <c r="V10" s="472"/>
      <c r="W10" s="698" t="s">
        <v>140</v>
      </c>
      <c r="X10" s="698" t="s">
        <v>141</v>
      </c>
      <c r="Y10" s="698" t="s">
        <v>142</v>
      </c>
      <c r="Z10" s="698" t="s">
        <v>143</v>
      </c>
      <c r="AA10" s="698" t="s">
        <v>141</v>
      </c>
      <c r="AB10" s="697" t="s">
        <v>144</v>
      </c>
      <c r="AC10" s="612"/>
      <c r="AD10" s="612"/>
      <c r="AE10" s="612"/>
      <c r="AF10" s="612"/>
    </row>
    <row r="11" spans="2:32">
      <c r="B11" s="473"/>
      <c r="C11" s="474"/>
      <c r="D11" s="475"/>
      <c r="E11" s="476"/>
      <c r="F11" s="703"/>
      <c r="G11" s="703"/>
      <c r="H11" s="703"/>
      <c r="I11" s="703"/>
      <c r="J11" s="703"/>
      <c r="K11" s="703"/>
      <c r="L11" s="703"/>
      <c r="M11" s="703"/>
      <c r="N11" s="703"/>
      <c r="O11" s="703"/>
      <c r="P11" s="703"/>
      <c r="Q11" s="703"/>
      <c r="R11" s="702" t="s">
        <v>31</v>
      </c>
      <c r="S11" s="702" t="s">
        <v>31</v>
      </c>
      <c r="T11" s="701" t="s">
        <v>32</v>
      </c>
      <c r="U11" s="700"/>
      <c r="V11" s="699"/>
      <c r="W11" s="698" t="s">
        <v>32</v>
      </c>
      <c r="X11" s="698" t="s">
        <v>32</v>
      </c>
      <c r="Y11" s="698" t="s">
        <v>31</v>
      </c>
      <c r="Z11" s="698" t="s">
        <v>32</v>
      </c>
      <c r="AA11" s="698" t="s">
        <v>32</v>
      </c>
      <c r="AB11" s="697"/>
      <c r="AC11" s="612"/>
      <c r="AD11" s="612"/>
      <c r="AE11" s="612"/>
      <c r="AF11" s="612"/>
    </row>
    <row r="12" spans="2:32">
      <c r="B12" s="696">
        <v>1</v>
      </c>
      <c r="C12" s="482">
        <v>2</v>
      </c>
      <c r="D12" s="483"/>
      <c r="E12" s="695">
        <v>3</v>
      </c>
      <c r="F12" s="695">
        <v>4</v>
      </c>
      <c r="G12" s="695">
        <v>5</v>
      </c>
      <c r="H12" s="695">
        <v>6</v>
      </c>
      <c r="I12" s="695">
        <v>7</v>
      </c>
      <c r="J12" s="695">
        <v>8</v>
      </c>
      <c r="K12" s="695">
        <v>9</v>
      </c>
      <c r="L12" s="695">
        <v>10</v>
      </c>
      <c r="M12" s="695">
        <v>11</v>
      </c>
      <c r="N12" s="695">
        <v>12</v>
      </c>
      <c r="O12" s="695">
        <v>13</v>
      </c>
      <c r="P12" s="695">
        <v>14</v>
      </c>
      <c r="Q12" s="695">
        <v>15</v>
      </c>
      <c r="R12" s="694">
        <v>16</v>
      </c>
      <c r="S12" s="694">
        <v>17</v>
      </c>
      <c r="T12" s="693">
        <v>18</v>
      </c>
      <c r="U12" s="488">
        <v>7</v>
      </c>
      <c r="V12" s="489"/>
      <c r="W12" s="692">
        <v>8</v>
      </c>
      <c r="X12" s="692">
        <v>9</v>
      </c>
      <c r="Y12" s="692">
        <v>10</v>
      </c>
      <c r="Z12" s="692">
        <v>11</v>
      </c>
      <c r="AA12" s="692">
        <v>12</v>
      </c>
      <c r="AB12" s="691">
        <v>13</v>
      </c>
      <c r="AC12" s="690"/>
      <c r="AD12" s="690"/>
      <c r="AE12" s="690"/>
      <c r="AF12" s="690"/>
    </row>
    <row r="13" spans="2:32">
      <c r="B13" s="689"/>
      <c r="C13" s="688"/>
      <c r="D13" s="686"/>
      <c r="E13" s="686"/>
      <c r="F13" s="686"/>
      <c r="G13" s="686"/>
      <c r="H13" s="686"/>
      <c r="I13" s="686"/>
      <c r="J13" s="686"/>
      <c r="K13" s="686"/>
      <c r="L13" s="686"/>
      <c r="M13" s="686"/>
      <c r="N13" s="686"/>
      <c r="O13" s="686"/>
      <c r="P13" s="686"/>
      <c r="Q13" s="686"/>
      <c r="R13" s="685"/>
      <c r="S13" s="685"/>
      <c r="T13" s="649"/>
      <c r="U13" s="687"/>
      <c r="V13" s="686"/>
      <c r="W13" s="685"/>
      <c r="X13" s="685"/>
      <c r="Y13" s="685"/>
      <c r="Z13" s="685"/>
      <c r="AA13" s="685"/>
      <c r="AB13" s="676"/>
      <c r="AC13" s="592"/>
      <c r="AD13" s="592"/>
      <c r="AE13" s="592"/>
      <c r="AF13" s="592"/>
    </row>
    <row r="14" spans="2:32">
      <c r="B14" s="684" t="s">
        <v>195</v>
      </c>
      <c r="C14" s="683"/>
      <c r="D14" s="682"/>
      <c r="E14" s="682"/>
      <c r="F14" s="682"/>
      <c r="G14" s="682"/>
      <c r="H14" s="682"/>
      <c r="I14" s="682"/>
      <c r="J14" s="682"/>
      <c r="K14" s="682"/>
      <c r="L14" s="682"/>
      <c r="M14" s="682"/>
      <c r="N14" s="682"/>
      <c r="O14" s="682"/>
      <c r="P14" s="682"/>
      <c r="Q14" s="682"/>
      <c r="R14" s="681">
        <v>144400000</v>
      </c>
      <c r="S14" s="681"/>
      <c r="T14" s="680">
        <v>99.999999999999986</v>
      </c>
      <c r="U14" s="679"/>
      <c r="V14" s="678"/>
      <c r="W14" s="677"/>
      <c r="X14" s="677" t="e">
        <v>#REF!</v>
      </c>
      <c r="Y14" s="677" t="e">
        <v>#REF!</v>
      </c>
      <c r="Z14" s="677">
        <v>0</v>
      </c>
      <c r="AA14" s="677" t="e">
        <v>#REF!</v>
      </c>
      <c r="AB14" s="676"/>
      <c r="AC14" s="592"/>
      <c r="AD14" s="592"/>
      <c r="AE14" s="592"/>
      <c r="AF14" s="592"/>
    </row>
    <row r="15" spans="2:32">
      <c r="B15" s="643" t="s">
        <v>196</v>
      </c>
      <c r="C15" s="669">
        <v>1</v>
      </c>
      <c r="D15" s="668" t="s">
        <v>197</v>
      </c>
      <c r="E15" s="665" t="s">
        <v>91</v>
      </c>
      <c r="F15" s="664">
        <v>0</v>
      </c>
      <c r="G15" s="664"/>
      <c r="H15" s="664">
        <v>0</v>
      </c>
      <c r="I15" s="664">
        <v>0</v>
      </c>
      <c r="J15" s="664">
        <v>0</v>
      </c>
      <c r="K15" s="664"/>
      <c r="L15" s="664">
        <v>1</v>
      </c>
      <c r="M15" s="664"/>
      <c r="N15" s="664"/>
      <c r="O15" s="664">
        <v>0</v>
      </c>
      <c r="P15" s="675"/>
      <c r="Q15" s="664">
        <v>0</v>
      </c>
      <c r="R15" s="660">
        <v>3420000</v>
      </c>
      <c r="S15" s="660"/>
      <c r="T15" s="663">
        <v>2.3684210526315792</v>
      </c>
      <c r="U15" s="662">
        <v>0</v>
      </c>
      <c r="V15" s="661" t="s">
        <v>166</v>
      </c>
      <c r="W15" s="659">
        <v>0</v>
      </c>
      <c r="X15" s="659">
        <v>0</v>
      </c>
      <c r="Y15" s="660">
        <v>0</v>
      </c>
      <c r="Z15" s="659">
        <v>0</v>
      </c>
      <c r="AA15" s="659">
        <v>0</v>
      </c>
      <c r="AB15" s="508"/>
      <c r="AC15" s="672">
        <v>1</v>
      </c>
      <c r="AD15" s="592"/>
      <c r="AE15" s="592" t="s">
        <v>167</v>
      </c>
      <c r="AF15" s="592">
        <v>30795000</v>
      </c>
    </row>
    <row r="16" spans="2:32">
      <c r="B16" s="657" t="s">
        <v>66</v>
      </c>
      <c r="C16" s="667"/>
      <c r="D16" s="666"/>
      <c r="E16" s="651"/>
      <c r="F16" s="656">
        <v>0</v>
      </c>
      <c r="G16" s="656">
        <v>0</v>
      </c>
      <c r="H16" s="656">
        <v>0</v>
      </c>
      <c r="I16" s="656">
        <v>0</v>
      </c>
      <c r="J16" s="656">
        <v>0</v>
      </c>
      <c r="K16" s="656">
        <v>0</v>
      </c>
      <c r="L16" s="656">
        <v>100</v>
      </c>
      <c r="M16" s="656">
        <v>0</v>
      </c>
      <c r="N16" s="656">
        <v>0</v>
      </c>
      <c r="O16" s="656">
        <v>0</v>
      </c>
      <c r="P16" s="656">
        <v>0</v>
      </c>
      <c r="Q16" s="656">
        <v>0</v>
      </c>
      <c r="R16" s="658"/>
      <c r="S16" s="658"/>
      <c r="T16" s="649"/>
      <c r="U16" s="648"/>
      <c r="V16" s="647"/>
      <c r="W16" s="644"/>
      <c r="X16" s="646"/>
      <c r="Y16" s="645">
        <v>0</v>
      </c>
      <c r="Z16" s="644" t="e">
        <v>#DIV/0!</v>
      </c>
      <c r="AA16" s="644" t="e">
        <v>#DIV/0!</v>
      </c>
      <c r="AB16" s="517"/>
      <c r="AC16" s="655">
        <v>100</v>
      </c>
      <c r="AD16" s="592"/>
      <c r="AE16" s="592"/>
      <c r="AF16" s="592"/>
    </row>
    <row r="17" spans="2:31">
      <c r="B17" s="657" t="s">
        <v>67</v>
      </c>
      <c r="C17" s="667"/>
      <c r="D17" s="666"/>
      <c r="E17" s="651"/>
      <c r="F17" s="656">
        <v>0</v>
      </c>
      <c r="G17" s="656">
        <v>0</v>
      </c>
      <c r="H17" s="656">
        <v>0</v>
      </c>
      <c r="I17" s="656">
        <v>0</v>
      </c>
      <c r="J17" s="656">
        <v>0</v>
      </c>
      <c r="K17" s="656">
        <v>0</v>
      </c>
      <c r="L17" s="656">
        <v>100</v>
      </c>
      <c r="M17" s="656">
        <v>100</v>
      </c>
      <c r="N17" s="656">
        <v>100</v>
      </c>
      <c r="O17" s="656">
        <v>100</v>
      </c>
      <c r="P17" s="656">
        <v>100</v>
      </c>
      <c r="Q17" s="656">
        <v>100</v>
      </c>
      <c r="R17" s="645"/>
      <c r="S17" s="645"/>
      <c r="T17" s="649"/>
      <c r="U17" s="648"/>
      <c r="V17" s="647"/>
      <c r="W17" s="644"/>
      <c r="X17" s="646"/>
      <c r="Y17" s="645">
        <v>0</v>
      </c>
      <c r="Z17" s="644" t="e">
        <v>#DIV/0!</v>
      </c>
      <c r="AA17" s="644" t="e">
        <v>#DIV/0!</v>
      </c>
      <c r="AB17" s="517"/>
      <c r="AC17" s="592"/>
      <c r="AD17" s="592"/>
      <c r="AE17" s="592">
        <v>32.142857142857146</v>
      </c>
    </row>
    <row r="18" spans="2:31">
      <c r="B18" s="657" t="s">
        <v>68</v>
      </c>
      <c r="C18" s="667"/>
      <c r="D18" s="666"/>
      <c r="E18" s="651"/>
      <c r="F18" s="656">
        <v>0</v>
      </c>
      <c r="G18" s="656">
        <v>0</v>
      </c>
      <c r="H18" s="656">
        <v>0</v>
      </c>
      <c r="I18" s="656">
        <v>0</v>
      </c>
      <c r="J18" s="656">
        <v>0</v>
      </c>
      <c r="K18" s="656">
        <v>0</v>
      </c>
      <c r="L18" s="656">
        <v>2.3684210526315792</v>
      </c>
      <c r="M18" s="656">
        <v>0</v>
      </c>
      <c r="N18" s="656">
        <v>0</v>
      </c>
      <c r="O18" s="656">
        <v>0</v>
      </c>
      <c r="P18" s="656">
        <v>0</v>
      </c>
      <c r="Q18" s="656">
        <v>0</v>
      </c>
      <c r="R18" s="645"/>
      <c r="S18" s="645"/>
      <c r="T18" s="649"/>
      <c r="U18" s="648"/>
      <c r="V18" s="647"/>
      <c r="W18" s="644"/>
      <c r="X18" s="646"/>
      <c r="Y18" s="645"/>
      <c r="Z18" s="644"/>
      <c r="AA18" s="644"/>
      <c r="AB18" s="517"/>
      <c r="AC18" s="592"/>
      <c r="AD18" s="592"/>
      <c r="AE18" s="592"/>
    </row>
    <row r="19" spans="2:31">
      <c r="B19" s="654"/>
      <c r="C19" s="667"/>
      <c r="D19" s="666"/>
      <c r="E19" s="651"/>
      <c r="F19" s="656"/>
      <c r="G19" s="656"/>
      <c r="H19" s="656"/>
      <c r="I19" s="656"/>
      <c r="J19" s="656"/>
      <c r="K19" s="656"/>
      <c r="L19" s="656"/>
      <c r="M19" s="656"/>
      <c r="N19" s="656"/>
      <c r="O19" s="656"/>
      <c r="P19" s="656"/>
      <c r="Q19" s="656"/>
      <c r="R19" s="645"/>
      <c r="S19" s="645"/>
      <c r="T19" s="649"/>
      <c r="U19" s="648"/>
      <c r="V19" s="647"/>
      <c r="W19" s="644"/>
      <c r="X19" s="646"/>
      <c r="Y19" s="645">
        <v>0</v>
      </c>
      <c r="Z19" s="644">
        <v>0</v>
      </c>
      <c r="AA19" s="644">
        <v>0</v>
      </c>
      <c r="AB19" s="517"/>
      <c r="AC19" s="592"/>
      <c r="AD19" s="592"/>
      <c r="AE19" s="592"/>
    </row>
    <row r="20" spans="2:31">
      <c r="B20" s="643" t="s">
        <v>198</v>
      </c>
      <c r="C20" s="669">
        <v>240</v>
      </c>
      <c r="D20" s="668" t="s">
        <v>199</v>
      </c>
      <c r="E20" s="665" t="s">
        <v>200</v>
      </c>
      <c r="F20" s="673"/>
      <c r="G20" s="673">
        <v>24</v>
      </c>
      <c r="H20" s="673">
        <v>24</v>
      </c>
      <c r="I20" s="673">
        <v>36</v>
      </c>
      <c r="J20" s="673">
        <v>0</v>
      </c>
      <c r="K20" s="673">
        <v>0</v>
      </c>
      <c r="L20" s="673">
        <v>36</v>
      </c>
      <c r="M20" s="673">
        <v>24</v>
      </c>
      <c r="N20" s="673">
        <v>36</v>
      </c>
      <c r="O20" s="673">
        <v>24</v>
      </c>
      <c r="P20" s="673">
        <v>36</v>
      </c>
      <c r="Q20" s="673"/>
      <c r="R20" s="660">
        <v>112800000</v>
      </c>
      <c r="S20" s="660"/>
      <c r="T20" s="663">
        <v>78.1163434903047</v>
      </c>
      <c r="U20" s="662">
        <v>0</v>
      </c>
      <c r="V20" s="661" t="s">
        <v>53</v>
      </c>
      <c r="W20" s="659">
        <v>0</v>
      </c>
      <c r="X20" s="659">
        <v>0</v>
      </c>
      <c r="Y20" s="660">
        <v>0</v>
      </c>
      <c r="Z20" s="659">
        <v>0</v>
      </c>
      <c r="AA20" s="659">
        <v>0</v>
      </c>
      <c r="AB20" s="508"/>
      <c r="AC20" s="672">
        <v>240</v>
      </c>
      <c r="AD20" s="674">
        <v>240</v>
      </c>
      <c r="AE20" s="592"/>
    </row>
    <row r="21" spans="2:31">
      <c r="B21" s="657" t="s">
        <v>66</v>
      </c>
      <c r="C21" s="667"/>
      <c r="D21" s="666"/>
      <c r="E21" s="651"/>
      <c r="F21" s="656">
        <v>0</v>
      </c>
      <c r="G21" s="656">
        <v>10</v>
      </c>
      <c r="H21" s="656">
        <v>10</v>
      </c>
      <c r="I21" s="656">
        <v>15</v>
      </c>
      <c r="J21" s="656">
        <v>0</v>
      </c>
      <c r="K21" s="656">
        <v>0</v>
      </c>
      <c r="L21" s="656">
        <v>15</v>
      </c>
      <c r="M21" s="656">
        <v>10</v>
      </c>
      <c r="N21" s="656">
        <v>15</v>
      </c>
      <c r="O21" s="656">
        <v>10</v>
      </c>
      <c r="P21" s="656">
        <v>15</v>
      </c>
      <c r="Q21" s="656">
        <v>0</v>
      </c>
      <c r="R21" s="658"/>
      <c r="S21" s="658"/>
      <c r="T21" s="649"/>
      <c r="U21" s="648"/>
      <c r="V21" s="647"/>
      <c r="W21" s="644" t="s">
        <v>60</v>
      </c>
      <c r="X21" s="646"/>
      <c r="Y21" s="645">
        <v>0</v>
      </c>
      <c r="Z21" s="644" t="e">
        <v>#DIV/0!</v>
      </c>
      <c r="AA21" s="644" t="e">
        <v>#DIV/0!</v>
      </c>
      <c r="AB21" s="517"/>
      <c r="AC21" s="655">
        <v>100</v>
      </c>
      <c r="AD21" s="592"/>
      <c r="AE21" s="592"/>
    </row>
    <row r="22" spans="2:31">
      <c r="B22" s="657" t="s">
        <v>67</v>
      </c>
      <c r="C22" s="667"/>
      <c r="D22" s="666"/>
      <c r="E22" s="651"/>
      <c r="F22" s="656">
        <v>0</v>
      </c>
      <c r="G22" s="656">
        <v>10</v>
      </c>
      <c r="H22" s="656">
        <v>20</v>
      </c>
      <c r="I22" s="656">
        <v>35</v>
      </c>
      <c r="J22" s="656">
        <v>35</v>
      </c>
      <c r="K22" s="656">
        <v>35</v>
      </c>
      <c r="L22" s="656">
        <v>50</v>
      </c>
      <c r="M22" s="656">
        <v>60</v>
      </c>
      <c r="N22" s="656">
        <v>75</v>
      </c>
      <c r="O22" s="656">
        <v>85</v>
      </c>
      <c r="P22" s="656">
        <v>100</v>
      </c>
      <c r="Q22" s="656">
        <v>100</v>
      </c>
      <c r="R22" s="645"/>
      <c r="S22" s="645"/>
      <c r="T22" s="649"/>
      <c r="U22" s="648"/>
      <c r="V22" s="647"/>
      <c r="W22" s="644"/>
      <c r="X22" s="646"/>
      <c r="Y22" s="645">
        <v>0</v>
      </c>
      <c r="Z22" s="644" t="e">
        <v>#DIV/0!</v>
      </c>
      <c r="AA22" s="644" t="e">
        <v>#DIV/0!</v>
      </c>
      <c r="AB22" s="517"/>
      <c r="AC22" s="592"/>
      <c r="AD22" s="592"/>
      <c r="AE22" s="592"/>
    </row>
    <row r="23" spans="2:31">
      <c r="B23" s="657" t="s">
        <v>68</v>
      </c>
      <c r="C23" s="667"/>
      <c r="D23" s="666"/>
      <c r="E23" s="651"/>
      <c r="F23" s="656">
        <v>0</v>
      </c>
      <c r="G23" s="656">
        <v>7.81163434903047</v>
      </c>
      <c r="H23" s="656">
        <v>7.81163434903047</v>
      </c>
      <c r="I23" s="656">
        <v>11.717451523545705</v>
      </c>
      <c r="J23" s="656">
        <v>0</v>
      </c>
      <c r="K23" s="656">
        <v>0</v>
      </c>
      <c r="L23" s="656">
        <v>11.717451523545705</v>
      </c>
      <c r="M23" s="656">
        <v>7.81163434903047</v>
      </c>
      <c r="N23" s="656">
        <v>11.717451523545705</v>
      </c>
      <c r="O23" s="656">
        <v>7.81163434903047</v>
      </c>
      <c r="P23" s="656">
        <v>11.717451523545705</v>
      </c>
      <c r="Q23" s="656">
        <v>0</v>
      </c>
      <c r="R23" s="645"/>
      <c r="S23" s="645"/>
      <c r="T23" s="649"/>
      <c r="U23" s="648"/>
      <c r="V23" s="647"/>
      <c r="W23" s="644"/>
      <c r="X23" s="646"/>
      <c r="Y23" s="645"/>
      <c r="Z23" s="644"/>
      <c r="AA23" s="644"/>
      <c r="AB23" s="517"/>
      <c r="AC23" s="592"/>
      <c r="AD23" s="592"/>
      <c r="AE23" s="592"/>
    </row>
    <row r="24" spans="2:31">
      <c r="B24" s="654"/>
      <c r="C24" s="667"/>
      <c r="D24" s="666"/>
      <c r="E24" s="651"/>
      <c r="F24" s="650"/>
      <c r="G24" s="650"/>
      <c r="H24" s="650"/>
      <c r="I24" s="650"/>
      <c r="J24" s="650"/>
      <c r="K24" s="650"/>
      <c r="L24" s="650"/>
      <c r="M24" s="650"/>
      <c r="N24" s="650"/>
      <c r="O24" s="650"/>
      <c r="P24" s="650"/>
      <c r="Q24" s="650"/>
      <c r="R24" s="645"/>
      <c r="S24" s="645"/>
      <c r="T24" s="649"/>
      <c r="U24" s="648"/>
      <c r="V24" s="647"/>
      <c r="W24" s="644"/>
      <c r="X24" s="646"/>
      <c r="Y24" s="645">
        <v>0</v>
      </c>
      <c r="Z24" s="644">
        <v>0</v>
      </c>
      <c r="AA24" s="644">
        <v>0</v>
      </c>
      <c r="AB24" s="523"/>
      <c r="AC24" s="592"/>
      <c r="AD24" s="592"/>
      <c r="AE24" s="592"/>
    </row>
    <row r="25" spans="2:31">
      <c r="B25" s="643" t="s">
        <v>201</v>
      </c>
      <c r="C25" s="669">
        <v>40</v>
      </c>
      <c r="D25" s="668" t="s">
        <v>202</v>
      </c>
      <c r="E25" s="665" t="s">
        <v>80</v>
      </c>
      <c r="F25" s="664">
        <v>0</v>
      </c>
      <c r="G25" s="673">
        <v>4</v>
      </c>
      <c r="H25" s="673">
        <v>4</v>
      </c>
      <c r="I25" s="673">
        <v>4</v>
      </c>
      <c r="J25" s="673"/>
      <c r="K25" s="673">
        <v>4</v>
      </c>
      <c r="L25" s="673">
        <v>4</v>
      </c>
      <c r="M25" s="673">
        <v>4</v>
      </c>
      <c r="N25" s="673">
        <v>4</v>
      </c>
      <c r="O25" s="673">
        <v>4</v>
      </c>
      <c r="P25" s="673">
        <v>4</v>
      </c>
      <c r="Q25" s="673">
        <v>4</v>
      </c>
      <c r="R25" s="660">
        <v>28180000</v>
      </c>
      <c r="S25" s="660"/>
      <c r="T25" s="663">
        <v>19.515235457063714</v>
      </c>
      <c r="U25" s="662">
        <v>13</v>
      </c>
      <c r="V25" s="661" t="s">
        <v>148</v>
      </c>
      <c r="W25" s="659">
        <v>32.5</v>
      </c>
      <c r="X25" s="659">
        <v>6.3424515235457068</v>
      </c>
      <c r="Y25" s="660">
        <v>0</v>
      </c>
      <c r="Z25" s="659">
        <v>0</v>
      </c>
      <c r="AA25" s="659">
        <v>0</v>
      </c>
      <c r="AB25" s="508" t="s">
        <v>170</v>
      </c>
      <c r="AC25" s="672">
        <v>40</v>
      </c>
      <c r="AD25" s="592"/>
      <c r="AE25" s="592"/>
    </row>
    <row r="26" spans="2:31">
      <c r="B26" s="657" t="s">
        <v>66</v>
      </c>
      <c r="C26" s="653"/>
      <c r="D26" s="652"/>
      <c r="E26" s="651"/>
      <c r="F26" s="656">
        <v>0</v>
      </c>
      <c r="G26" s="656">
        <v>10</v>
      </c>
      <c r="H26" s="656">
        <v>10</v>
      </c>
      <c r="I26" s="656">
        <v>10</v>
      </c>
      <c r="J26" s="656">
        <v>0</v>
      </c>
      <c r="K26" s="656">
        <v>10</v>
      </c>
      <c r="L26" s="656">
        <v>10</v>
      </c>
      <c r="M26" s="656">
        <v>10</v>
      </c>
      <c r="N26" s="656">
        <v>10</v>
      </c>
      <c r="O26" s="656">
        <v>10</v>
      </c>
      <c r="P26" s="656">
        <v>10</v>
      </c>
      <c r="Q26" s="656">
        <v>10</v>
      </c>
      <c r="R26" s="658"/>
      <c r="S26" s="658"/>
      <c r="T26" s="649"/>
      <c r="U26" s="648"/>
      <c r="V26" s="647"/>
      <c r="W26" s="644"/>
      <c r="X26" s="646"/>
      <c r="Y26" s="645">
        <v>0</v>
      </c>
      <c r="Z26" s="644" t="e">
        <v>#DIV/0!</v>
      </c>
      <c r="AA26" s="644" t="e">
        <v>#DIV/0!</v>
      </c>
      <c r="AB26" s="517"/>
      <c r="AC26" s="655">
        <v>100</v>
      </c>
      <c r="AD26" s="592"/>
      <c r="AE26" s="592"/>
    </row>
    <row r="27" spans="2:31">
      <c r="B27" s="657" t="s">
        <v>67</v>
      </c>
      <c r="C27" s="653"/>
      <c r="D27" s="652"/>
      <c r="E27" s="651"/>
      <c r="F27" s="656">
        <v>0</v>
      </c>
      <c r="G27" s="656">
        <v>10</v>
      </c>
      <c r="H27" s="656">
        <v>20</v>
      </c>
      <c r="I27" s="656">
        <v>30</v>
      </c>
      <c r="J27" s="656">
        <v>30</v>
      </c>
      <c r="K27" s="656">
        <v>40</v>
      </c>
      <c r="L27" s="656">
        <v>50</v>
      </c>
      <c r="M27" s="656">
        <v>60</v>
      </c>
      <c r="N27" s="656">
        <v>70</v>
      </c>
      <c r="O27" s="656">
        <v>80</v>
      </c>
      <c r="P27" s="656">
        <v>90</v>
      </c>
      <c r="Q27" s="656">
        <v>100</v>
      </c>
      <c r="R27" s="645"/>
      <c r="S27" s="645"/>
      <c r="T27" s="649"/>
      <c r="U27" s="648"/>
      <c r="V27" s="647"/>
      <c r="W27" s="644"/>
      <c r="X27" s="646"/>
      <c r="Y27" s="645">
        <v>0</v>
      </c>
      <c r="Z27" s="644" t="e">
        <v>#DIV/0!</v>
      </c>
      <c r="AA27" s="644" t="e">
        <v>#DIV/0!</v>
      </c>
      <c r="AB27" s="517"/>
      <c r="AC27" s="655">
        <v>580</v>
      </c>
      <c r="AD27" s="592"/>
      <c r="AE27" s="592"/>
    </row>
    <row r="28" spans="2:31">
      <c r="B28" s="657" t="s">
        <v>68</v>
      </c>
      <c r="C28" s="642"/>
      <c r="D28" s="641"/>
      <c r="E28" s="640"/>
      <c r="F28" s="671">
        <v>0</v>
      </c>
      <c r="G28" s="639">
        <v>1.9515235457063713</v>
      </c>
      <c r="H28" s="639">
        <v>1.9515235457063713</v>
      </c>
      <c r="I28" s="639">
        <v>1.9515235457063713</v>
      </c>
      <c r="J28" s="639">
        <v>0</v>
      </c>
      <c r="K28" s="639">
        <v>1.9515235457063713</v>
      </c>
      <c r="L28" s="639">
        <v>1.9515235457063713</v>
      </c>
      <c r="M28" s="639">
        <v>1.9515235457063713</v>
      </c>
      <c r="N28" s="639">
        <v>1.9515235457063713</v>
      </c>
      <c r="O28" s="639">
        <v>1.9515235457063713</v>
      </c>
      <c r="P28" s="639">
        <v>1.9515235457063713</v>
      </c>
      <c r="Q28" s="639">
        <v>1.9515235457063713</v>
      </c>
      <c r="R28" s="634"/>
      <c r="S28" s="634"/>
      <c r="T28" s="670"/>
      <c r="U28" s="648"/>
      <c r="V28" s="647"/>
      <c r="W28" s="644"/>
      <c r="X28" s="646"/>
      <c r="Y28" s="645"/>
      <c r="Z28" s="644"/>
      <c r="AA28" s="644"/>
      <c r="AB28" s="517"/>
      <c r="AC28" s="655">
        <v>19.515235457063714</v>
      </c>
      <c r="AD28" s="592"/>
      <c r="AE28" s="592"/>
    </row>
    <row r="29" spans="2:31">
      <c r="B29" s="643"/>
      <c r="C29" s="642"/>
      <c r="D29" s="641"/>
      <c r="E29" s="640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4">
        <v>0</v>
      </c>
      <c r="S29" s="634"/>
      <c r="T29" s="638">
        <v>0</v>
      </c>
      <c r="U29" s="637"/>
      <c r="V29" s="636"/>
      <c r="W29" s="633"/>
      <c r="X29" s="635"/>
      <c r="Y29" s="634">
        <v>0</v>
      </c>
      <c r="Z29" s="633">
        <v>0</v>
      </c>
      <c r="AA29" s="633">
        <v>0</v>
      </c>
      <c r="AB29" s="632"/>
      <c r="AC29" s="592"/>
      <c r="AD29" s="592"/>
      <c r="AE29" s="592"/>
    </row>
    <row r="30" spans="2:31" ht="15.75" thickBot="1">
      <c r="B30" s="631" t="s">
        <v>41</v>
      </c>
      <c r="C30" s="71"/>
      <c r="D30" s="72"/>
      <c r="E30" s="630"/>
      <c r="F30" s="629">
        <v>0</v>
      </c>
      <c r="G30" s="629">
        <v>9.7631578947368407</v>
      </c>
      <c r="H30" s="629">
        <v>9.7631578947368407</v>
      </c>
      <c r="I30" s="629">
        <v>13.668975069252076</v>
      </c>
      <c r="J30" s="629">
        <v>0</v>
      </c>
      <c r="K30" s="629">
        <v>1.9515235457063713</v>
      </c>
      <c r="L30" s="629">
        <v>16.037396121883656</v>
      </c>
      <c r="M30" s="629">
        <v>9.7631578947368407</v>
      </c>
      <c r="N30" s="629">
        <v>13.668975069252076</v>
      </c>
      <c r="O30" s="629">
        <v>9.7631578947368407</v>
      </c>
      <c r="P30" s="629">
        <v>13.668975069252076</v>
      </c>
      <c r="Q30" s="629">
        <v>1.9515235457063713</v>
      </c>
      <c r="R30" s="628"/>
      <c r="S30" s="628"/>
      <c r="T30" s="627"/>
      <c r="U30" s="626"/>
      <c r="V30" s="625"/>
      <c r="W30" s="624"/>
      <c r="X30" s="624" t="e">
        <v>#REF!</v>
      </c>
      <c r="Y30" s="623" t="e">
        <v>#REF!</v>
      </c>
      <c r="Z30" s="623">
        <v>0</v>
      </c>
      <c r="AA30" s="622" t="e">
        <v>#REF!</v>
      </c>
      <c r="AB30" s="621"/>
      <c r="AC30" s="620">
        <v>99.999999999999972</v>
      </c>
      <c r="AD30" s="612"/>
      <c r="AE30" s="612"/>
    </row>
    <row r="31" spans="2:31" ht="16.5" thickTop="1" thickBot="1">
      <c r="B31" s="619" t="s">
        <v>42</v>
      </c>
      <c r="C31" s="618"/>
      <c r="D31" s="618"/>
      <c r="E31" s="616"/>
      <c r="F31" s="712">
        <v>0</v>
      </c>
      <c r="G31" s="617">
        <v>9.7631578947368407</v>
      </c>
      <c r="H31" s="617">
        <v>19.526315789473681</v>
      </c>
      <c r="I31" s="617">
        <v>33.195290858725755</v>
      </c>
      <c r="J31" s="617">
        <v>33.195290858725755</v>
      </c>
      <c r="K31" s="617">
        <v>35.146814404432128</v>
      </c>
      <c r="L31" s="617">
        <v>51.18421052631578</v>
      </c>
      <c r="M31" s="617">
        <v>60.947368421052623</v>
      </c>
      <c r="N31" s="617">
        <v>74.6163434903047</v>
      </c>
      <c r="O31" s="617">
        <v>84.379501385041536</v>
      </c>
      <c r="P31" s="617">
        <v>98.048476454293606</v>
      </c>
      <c r="Q31" s="617">
        <v>99.999999999999972</v>
      </c>
      <c r="R31" s="616"/>
      <c r="S31" s="616"/>
      <c r="T31" s="615"/>
      <c r="U31" s="614"/>
      <c r="V31" s="613"/>
      <c r="W31" s="613"/>
      <c r="X31" s="613"/>
      <c r="Y31" s="613"/>
      <c r="Z31" s="613"/>
      <c r="AA31" s="613"/>
      <c r="AB31" s="613"/>
      <c r="AC31" s="612"/>
      <c r="AD31" s="612">
        <v>16.666666666666664</v>
      </c>
      <c r="AE31" s="612"/>
    </row>
    <row r="32" spans="2:31">
      <c r="B32" s="611"/>
      <c r="C32" s="606"/>
      <c r="D32" s="606"/>
      <c r="E32" s="606"/>
      <c r="F32" s="610"/>
      <c r="G32" s="610"/>
      <c r="H32" s="610"/>
      <c r="I32" s="610"/>
      <c r="J32" s="610"/>
      <c r="K32" s="610"/>
      <c r="L32" s="610"/>
      <c r="M32" s="610"/>
      <c r="N32" s="610"/>
      <c r="O32" s="610"/>
      <c r="P32" s="610"/>
      <c r="Q32" s="609"/>
      <c r="R32" s="606"/>
      <c r="S32" s="606"/>
      <c r="T32" s="608"/>
      <c r="U32" s="607"/>
      <c r="V32" s="606"/>
      <c r="W32" s="606"/>
      <c r="X32" s="606"/>
      <c r="Y32" s="606"/>
      <c r="Z32" s="605"/>
      <c r="AA32" s="605"/>
      <c r="AB32" s="605"/>
      <c r="AC32" s="585"/>
      <c r="AD32" s="585"/>
      <c r="AE32" s="585"/>
    </row>
    <row r="33" spans="2:31">
      <c r="B33" s="597"/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/>
      <c r="N33" s="597"/>
      <c r="O33" s="604" t="s">
        <v>43</v>
      </c>
      <c r="P33" s="592"/>
      <c r="Q33" s="592"/>
      <c r="R33" s="592"/>
      <c r="S33" s="592"/>
      <c r="T33" s="592"/>
      <c r="U33" s="593"/>
      <c r="V33" s="597"/>
      <c r="W33" s="603"/>
      <c r="X33" s="597"/>
      <c r="Y33" s="603"/>
      <c r="Z33" s="597"/>
      <c r="AA33" s="593" t="s">
        <v>156</v>
      </c>
      <c r="AB33" s="592"/>
      <c r="AC33" s="602"/>
      <c r="AD33" s="592"/>
      <c r="AE33" s="592"/>
    </row>
    <row r="34" spans="2:31">
      <c r="B34" s="592"/>
      <c r="C34" s="713" t="s">
        <v>44</v>
      </c>
      <c r="D34" s="593"/>
      <c r="E34" s="593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597"/>
      <c r="S34" s="592"/>
      <c r="T34" s="600"/>
      <c r="U34" s="593"/>
      <c r="V34" s="593"/>
      <c r="W34" s="593"/>
      <c r="X34" s="593"/>
      <c r="Y34" s="594"/>
      <c r="Z34" s="593"/>
      <c r="AA34" s="597"/>
      <c r="AB34" s="593"/>
      <c r="AC34" s="592"/>
      <c r="AD34" s="592"/>
      <c r="AE34" s="592"/>
    </row>
    <row r="35" spans="2:31">
      <c r="B35" s="592"/>
      <c r="C35" s="713" t="s">
        <v>203</v>
      </c>
      <c r="D35" s="593"/>
      <c r="E35" s="593"/>
      <c r="F35" s="593"/>
      <c r="G35" s="593"/>
      <c r="H35" s="593"/>
      <c r="I35" s="593"/>
      <c r="J35" s="593"/>
      <c r="K35" s="593"/>
      <c r="L35" s="593"/>
      <c r="M35" s="593"/>
      <c r="N35" s="593"/>
      <c r="O35" s="592"/>
      <c r="P35" s="593" t="s">
        <v>46</v>
      </c>
      <c r="Q35" s="592"/>
      <c r="R35" s="592"/>
      <c r="S35" s="592"/>
      <c r="T35" s="592"/>
      <c r="U35" s="593"/>
      <c r="V35" s="593"/>
      <c r="W35" s="593"/>
      <c r="X35" s="593"/>
      <c r="Y35" s="594"/>
      <c r="Z35" s="592"/>
      <c r="AA35" s="593" t="s">
        <v>157</v>
      </c>
      <c r="AB35" s="592"/>
      <c r="AC35" s="592"/>
      <c r="AD35" s="592"/>
      <c r="AE35" s="592"/>
    </row>
    <row r="36" spans="2:31">
      <c r="B36" s="592"/>
      <c r="C36" s="713" t="s">
        <v>100</v>
      </c>
      <c r="D36" s="593"/>
      <c r="E36" s="593"/>
      <c r="F36" s="593"/>
      <c r="G36" s="593"/>
      <c r="H36" s="593"/>
      <c r="I36" s="593"/>
      <c r="J36" s="593"/>
      <c r="K36" s="593"/>
      <c r="L36" s="593"/>
      <c r="M36" s="593"/>
      <c r="N36" s="593"/>
      <c r="O36" s="593"/>
      <c r="P36" s="597"/>
      <c r="Q36" s="592"/>
      <c r="R36" s="592"/>
      <c r="S36" s="592"/>
      <c r="T36" s="593"/>
      <c r="U36" s="593"/>
      <c r="V36" s="593"/>
      <c r="W36" s="593"/>
      <c r="X36" s="593"/>
      <c r="Y36" s="599"/>
      <c r="Z36" s="593"/>
      <c r="AA36" s="597"/>
      <c r="AB36" s="593"/>
      <c r="AC36" s="592"/>
      <c r="AD36" s="592"/>
      <c r="AE36" s="592"/>
    </row>
    <row r="37" spans="2:31">
      <c r="B37" s="592"/>
      <c r="C37" s="713"/>
      <c r="D37" s="593"/>
      <c r="E37" s="593"/>
      <c r="F37" s="593"/>
      <c r="G37" s="593"/>
      <c r="H37" s="593"/>
      <c r="I37" s="593"/>
      <c r="J37" s="593"/>
      <c r="K37" s="593"/>
      <c r="L37" s="593"/>
      <c r="M37" s="593"/>
      <c r="N37" s="593"/>
      <c r="O37" s="593"/>
      <c r="P37" s="597"/>
      <c r="Q37" s="592"/>
      <c r="R37" s="592"/>
      <c r="S37" s="592"/>
      <c r="T37" s="593"/>
      <c r="U37" s="593"/>
      <c r="V37" s="593"/>
      <c r="W37" s="593"/>
      <c r="X37" s="593"/>
      <c r="Y37" s="598"/>
      <c r="Z37" s="593"/>
      <c r="AA37" s="597"/>
      <c r="AB37" s="593"/>
      <c r="AC37" s="592"/>
      <c r="AD37" s="592"/>
      <c r="AE37" s="592"/>
    </row>
    <row r="38" spans="2:31">
      <c r="B38" s="592"/>
      <c r="C38" s="713"/>
      <c r="D38" s="593"/>
      <c r="E38" s="593"/>
      <c r="F38" s="593"/>
      <c r="G38" s="593"/>
      <c r="H38" s="593"/>
      <c r="I38" s="593"/>
      <c r="J38" s="593"/>
      <c r="K38" s="593"/>
      <c r="L38" s="593"/>
      <c r="M38" s="593"/>
      <c r="N38" s="593"/>
      <c r="O38" s="593"/>
      <c r="P38" s="597"/>
      <c r="Q38" s="592"/>
      <c r="R38" s="592"/>
      <c r="S38" s="592"/>
      <c r="T38" s="593"/>
      <c r="U38" s="593"/>
      <c r="V38" s="593"/>
      <c r="W38" s="593"/>
      <c r="X38" s="593"/>
      <c r="Y38" s="594"/>
      <c r="Z38" s="593"/>
      <c r="AA38" s="597"/>
      <c r="AB38" s="593"/>
      <c r="AC38" s="592"/>
      <c r="AD38" s="592"/>
      <c r="AE38" s="592"/>
    </row>
    <row r="39" spans="2:31">
      <c r="B39" s="592"/>
      <c r="C39" s="713"/>
      <c r="D39" s="595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714" t="s">
        <v>204</v>
      </c>
      <c r="Q39" s="592"/>
      <c r="R39" s="592"/>
      <c r="S39" s="592"/>
      <c r="T39" s="592"/>
      <c r="U39" s="595"/>
      <c r="V39" s="595"/>
      <c r="W39" s="595"/>
      <c r="X39" s="595"/>
      <c r="Y39" s="596"/>
      <c r="Z39" s="595"/>
      <c r="AA39" s="595" t="s">
        <v>160</v>
      </c>
      <c r="AB39" s="592"/>
      <c r="AC39" s="592"/>
      <c r="AD39" s="592"/>
      <c r="AE39" s="592"/>
    </row>
    <row r="40" spans="2:31">
      <c r="B40" s="592"/>
      <c r="C40" s="715" t="s">
        <v>101</v>
      </c>
      <c r="D40" s="593"/>
      <c r="E40" s="593"/>
      <c r="F40" s="593"/>
      <c r="G40" s="593"/>
      <c r="H40" s="593"/>
      <c r="I40" s="593"/>
      <c r="J40" s="593"/>
      <c r="K40" s="593"/>
      <c r="L40" s="593"/>
      <c r="M40" s="593"/>
      <c r="N40" s="593"/>
      <c r="O40" s="593"/>
      <c r="P40" s="713" t="s">
        <v>205</v>
      </c>
      <c r="Q40" s="592"/>
      <c r="R40" s="592"/>
      <c r="S40" s="592"/>
      <c r="T40" s="592"/>
      <c r="U40" s="593"/>
      <c r="V40" s="593"/>
      <c r="W40" s="593"/>
      <c r="X40" s="593"/>
      <c r="Y40" s="594"/>
      <c r="Z40" s="593"/>
      <c r="AA40" s="593" t="s">
        <v>162</v>
      </c>
      <c r="AB40" s="592"/>
      <c r="AC40" s="592"/>
      <c r="AD40" s="592"/>
      <c r="AE40" s="592"/>
    </row>
    <row r="41" spans="2:31">
      <c r="B41" s="589"/>
      <c r="C41" s="716" t="s">
        <v>206</v>
      </c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90"/>
      <c r="S41" s="590"/>
      <c r="T41" s="589"/>
      <c r="U41" s="591"/>
      <c r="V41" s="589"/>
      <c r="W41" s="589"/>
      <c r="X41" s="589"/>
      <c r="Y41" s="590"/>
      <c r="Z41" s="589"/>
      <c r="AA41" s="589"/>
      <c r="AB41" s="589"/>
      <c r="AC41" s="585"/>
      <c r="AD41" s="585"/>
      <c r="AE41" s="585"/>
    </row>
    <row r="42" spans="2:31">
      <c r="B42" s="587"/>
      <c r="C42" s="585"/>
      <c r="D42" s="585"/>
      <c r="E42" s="585"/>
      <c r="F42" s="585"/>
      <c r="G42" s="585"/>
      <c r="H42" s="585"/>
      <c r="I42" s="585"/>
      <c r="J42" s="585"/>
      <c r="K42" s="585"/>
      <c r="L42" s="585"/>
      <c r="M42" s="585"/>
      <c r="N42" s="585"/>
      <c r="O42" s="585"/>
      <c r="P42" s="585"/>
      <c r="Q42" s="585"/>
      <c r="R42" s="585"/>
      <c r="S42" s="585"/>
      <c r="T42" s="585"/>
      <c r="U42" s="585"/>
      <c r="V42" s="585"/>
      <c r="W42" s="585"/>
      <c r="X42" s="585"/>
      <c r="Y42" s="585"/>
      <c r="Z42" s="585"/>
      <c r="AA42" s="585"/>
      <c r="AB42" s="585"/>
      <c r="AC42" s="585"/>
      <c r="AD42" s="585"/>
      <c r="AE42" s="585"/>
    </row>
    <row r="43" spans="2:31">
      <c r="B43" s="587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8"/>
      <c r="O43" s="585"/>
      <c r="P43" s="585"/>
      <c r="Q43" s="585"/>
      <c r="R43" s="585"/>
      <c r="S43" s="585"/>
      <c r="T43" s="585"/>
      <c r="U43" s="585"/>
      <c r="V43" s="585"/>
      <c r="W43" s="585"/>
      <c r="X43" s="585"/>
      <c r="Y43" s="585"/>
      <c r="Z43" s="585"/>
      <c r="AA43" s="585"/>
      <c r="AB43" s="585"/>
      <c r="AC43" s="585"/>
      <c r="AD43" s="585"/>
      <c r="AE43" s="585"/>
    </row>
    <row r="44" spans="2:31">
      <c r="B44" s="587"/>
      <c r="C44" s="585"/>
      <c r="D44" s="585"/>
      <c r="E44" s="585"/>
      <c r="F44" s="585"/>
      <c r="G44" s="585"/>
      <c r="H44" s="585"/>
      <c r="I44" s="585"/>
      <c r="J44" s="585"/>
      <c r="K44" s="585"/>
      <c r="L44" s="585"/>
      <c r="M44" s="585"/>
      <c r="N44" s="585"/>
      <c r="O44" s="585"/>
      <c r="P44" s="585"/>
      <c r="Q44" s="585"/>
      <c r="R44" s="585"/>
      <c r="S44" s="585"/>
      <c r="T44" s="585"/>
      <c r="U44" s="585"/>
      <c r="V44" s="585"/>
      <c r="W44" s="585"/>
      <c r="X44" s="585"/>
      <c r="Y44" s="585"/>
      <c r="Z44" s="585"/>
      <c r="AA44" s="585"/>
      <c r="AB44" s="585"/>
      <c r="AC44" s="585"/>
      <c r="AD44" s="585"/>
      <c r="AE44" s="585"/>
    </row>
    <row r="45" spans="2:31">
      <c r="B45" s="587"/>
      <c r="C45" s="585"/>
      <c r="D45" s="585"/>
      <c r="E45" s="585"/>
      <c r="F45" s="585"/>
      <c r="G45" s="585"/>
      <c r="H45" s="585"/>
      <c r="I45" s="585"/>
      <c r="J45" s="585"/>
      <c r="K45" s="585"/>
      <c r="L45" s="585"/>
      <c r="M45" s="585"/>
      <c r="N45" s="585"/>
      <c r="O45" s="585"/>
      <c r="P45" s="585"/>
      <c r="Q45" s="585"/>
      <c r="R45" s="585"/>
      <c r="S45" s="585"/>
      <c r="T45" s="585"/>
      <c r="U45" s="585"/>
      <c r="V45" s="585"/>
      <c r="W45" s="585"/>
      <c r="X45" s="585"/>
      <c r="Y45" s="585"/>
      <c r="Z45" s="585"/>
      <c r="AA45" s="585"/>
      <c r="AB45" s="585"/>
      <c r="AC45" s="585"/>
      <c r="AD45" s="585"/>
      <c r="AE45" s="585"/>
    </row>
    <row r="48" spans="2:31">
      <c r="B48" s="585"/>
      <c r="C48" s="585"/>
      <c r="D48" s="585"/>
      <c r="E48" s="585"/>
      <c r="F48" s="585"/>
      <c r="G48" s="585"/>
      <c r="H48" s="585"/>
      <c r="I48" s="585"/>
      <c r="J48" s="585"/>
      <c r="K48" s="585"/>
      <c r="L48" s="585"/>
      <c r="M48" s="585"/>
      <c r="N48" s="585"/>
      <c r="O48" s="585"/>
      <c r="P48" s="585"/>
      <c r="Q48" s="585"/>
      <c r="R48" s="585"/>
      <c r="S48" s="585"/>
      <c r="T48" s="585"/>
      <c r="U48" s="585"/>
      <c r="V48" s="585"/>
      <c r="W48" s="585"/>
      <c r="X48" s="585"/>
      <c r="Y48" s="585"/>
      <c r="Z48" s="585"/>
      <c r="AA48" s="585"/>
      <c r="AB48" s="585"/>
      <c r="AC48" s="585"/>
      <c r="AD48" s="585"/>
      <c r="AE48" s="586">
        <v>189000000</v>
      </c>
    </row>
    <row r="50" spans="31:31">
      <c r="AE50" s="586">
        <v>183750000</v>
      </c>
    </row>
    <row r="53" spans="31:31">
      <c r="AE53" s="586">
        <v>5250000</v>
      </c>
    </row>
    <row r="57" spans="31:31">
      <c r="AE57" s="586">
        <v>3</v>
      </c>
    </row>
  </sheetData>
  <mergeCells count="24">
    <mergeCell ref="AB15:AB19"/>
    <mergeCell ref="AB20:AB24"/>
    <mergeCell ref="AB25:AB28"/>
    <mergeCell ref="U9:V9"/>
    <mergeCell ref="U10:V10"/>
    <mergeCell ref="U12:V12"/>
    <mergeCell ref="B1:AB1"/>
    <mergeCell ref="B2:AB2"/>
    <mergeCell ref="D6:F6"/>
    <mergeCell ref="B8:B11"/>
    <mergeCell ref="C8:D11"/>
    <mergeCell ref="E8:E11"/>
    <mergeCell ref="F8:Q8"/>
    <mergeCell ref="R8:R10"/>
    <mergeCell ref="S8:S10"/>
    <mergeCell ref="U8:X8"/>
    <mergeCell ref="Y8:AA8"/>
    <mergeCell ref="F9:H9"/>
    <mergeCell ref="I9:K9"/>
    <mergeCell ref="L9:N9"/>
    <mergeCell ref="O9:Q9"/>
    <mergeCell ref="T9:T10"/>
    <mergeCell ref="C30:D30"/>
    <mergeCell ref="C12:D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3"/>
  <sheetViews>
    <sheetView workbookViewId="0">
      <selection activeCell="D8" sqref="D8:D11"/>
    </sheetView>
  </sheetViews>
  <sheetFormatPr defaultRowHeight="15"/>
  <cols>
    <col min="1" max="1" width="30.28515625" customWidth="1"/>
    <col min="2" max="2" width="6.140625" customWidth="1"/>
    <col min="3" max="3" width="7.5703125" customWidth="1"/>
    <col min="17" max="17" width="0" hidden="1" customWidth="1"/>
    <col min="18" max="18" width="14.85546875" style="838" customWidth="1"/>
  </cols>
  <sheetData>
    <row r="1" spans="1:25" s="581" customFormat="1" ht="14.25">
      <c r="A1" s="583" t="s">
        <v>58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</row>
    <row r="2" spans="1:25" s="581" customFormat="1" ht="14.25">
      <c r="A2" s="583" t="s">
        <v>1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</row>
    <row r="3" spans="1:25" s="581" customFormat="1" ht="7.5" customHeight="1">
      <c r="A3" s="706"/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582"/>
    </row>
    <row r="4" spans="1:25" s="581" customFormat="1">
      <c r="A4" s="241" t="s">
        <v>2</v>
      </c>
      <c r="B4" s="589" t="s">
        <v>59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717" t="s">
        <v>60</v>
      </c>
      <c r="S4" s="718"/>
      <c r="T4" s="719"/>
    </row>
    <row r="5" spans="1:25" s="581" customFormat="1">
      <c r="A5" s="241" t="s">
        <v>5</v>
      </c>
      <c r="B5" s="589" t="s">
        <v>207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T5" s="719"/>
    </row>
    <row r="6" spans="1:25" s="581" customFormat="1">
      <c r="A6" s="241" t="s">
        <v>7</v>
      </c>
      <c r="B6" s="589" t="s">
        <v>62</v>
      </c>
      <c r="C6" s="720">
        <f>R13</f>
        <v>318900000</v>
      </c>
      <c r="D6" s="720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T6" s="582"/>
    </row>
    <row r="7" spans="1:25" s="581" customFormat="1" ht="7.5" customHeight="1" thickBot="1">
      <c r="A7" s="589"/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719"/>
    </row>
    <row r="8" spans="1:25" s="581" customFormat="1" ht="12.75">
      <c r="A8" s="722" t="s">
        <v>8</v>
      </c>
      <c r="B8" s="723" t="s">
        <v>9</v>
      </c>
      <c r="C8" s="724"/>
      <c r="D8" s="725" t="s">
        <v>10</v>
      </c>
      <c r="E8" s="726" t="s">
        <v>11</v>
      </c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8"/>
      <c r="Q8" s="729"/>
      <c r="R8" s="725" t="s">
        <v>7</v>
      </c>
      <c r="S8" s="725" t="s">
        <v>12</v>
      </c>
      <c r="T8" s="730" t="s">
        <v>13</v>
      </c>
    </row>
    <row r="9" spans="1:25" s="581" customFormat="1" ht="12.75">
      <c r="A9" s="731"/>
      <c r="B9" s="732"/>
      <c r="C9" s="733"/>
      <c r="D9" s="734"/>
      <c r="E9" s="735" t="s">
        <v>14</v>
      </c>
      <c r="F9" s="736"/>
      <c r="G9" s="737"/>
      <c r="H9" s="735" t="s">
        <v>15</v>
      </c>
      <c r="I9" s="736"/>
      <c r="J9" s="737"/>
      <c r="K9" s="735" t="s">
        <v>16</v>
      </c>
      <c r="L9" s="736"/>
      <c r="M9" s="737"/>
      <c r="N9" s="735" t="s">
        <v>17</v>
      </c>
      <c r="O9" s="736"/>
      <c r="P9" s="737"/>
      <c r="Q9" s="738"/>
      <c r="R9" s="734"/>
      <c r="S9" s="734"/>
      <c r="T9" s="739"/>
    </row>
    <row r="10" spans="1:25" s="581" customFormat="1" ht="12.75">
      <c r="A10" s="731"/>
      <c r="B10" s="732"/>
      <c r="C10" s="733"/>
      <c r="D10" s="734"/>
      <c r="E10" s="740" t="s">
        <v>19</v>
      </c>
      <c r="F10" s="740" t="s">
        <v>20</v>
      </c>
      <c r="G10" s="740" t="s">
        <v>21</v>
      </c>
      <c r="H10" s="740" t="s">
        <v>22</v>
      </c>
      <c r="I10" s="740" t="s">
        <v>23</v>
      </c>
      <c r="J10" s="740" t="s">
        <v>24</v>
      </c>
      <c r="K10" s="740" t="s">
        <v>25</v>
      </c>
      <c r="L10" s="740" t="s">
        <v>26</v>
      </c>
      <c r="M10" s="740" t="s">
        <v>27</v>
      </c>
      <c r="N10" s="740" t="s">
        <v>28</v>
      </c>
      <c r="O10" s="740" t="s">
        <v>29</v>
      </c>
      <c r="P10" s="740" t="s">
        <v>30</v>
      </c>
      <c r="Q10" s="740"/>
      <c r="R10" s="734"/>
      <c r="S10" s="734"/>
      <c r="T10" s="739" t="s">
        <v>63</v>
      </c>
    </row>
    <row r="11" spans="1:25" s="581" customFormat="1" ht="12.75">
      <c r="A11" s="741"/>
      <c r="B11" s="742"/>
      <c r="C11" s="743"/>
      <c r="D11" s="744"/>
      <c r="E11" s="740"/>
      <c r="F11" s="740"/>
      <c r="G11" s="740"/>
      <c r="H11" s="740"/>
      <c r="I11" s="740"/>
      <c r="J11" s="740"/>
      <c r="K11" s="740"/>
      <c r="L11" s="740"/>
      <c r="M11" s="740"/>
      <c r="N11" s="740"/>
      <c r="O11" s="740"/>
      <c r="P11" s="740"/>
      <c r="Q11" s="740"/>
      <c r="R11" s="745" t="s">
        <v>31</v>
      </c>
      <c r="S11" s="745" t="s">
        <v>31</v>
      </c>
      <c r="T11" s="739" t="s">
        <v>32</v>
      </c>
    </row>
    <row r="12" spans="1:25" s="751" customFormat="1" ht="8.25">
      <c r="A12" s="746">
        <v>1</v>
      </c>
      <c r="B12" s="747">
        <v>2</v>
      </c>
      <c r="C12" s="748"/>
      <c r="D12" s="749">
        <v>3</v>
      </c>
      <c r="E12" s="749">
        <v>4</v>
      </c>
      <c r="F12" s="749">
        <v>5</v>
      </c>
      <c r="G12" s="749">
        <v>6</v>
      </c>
      <c r="H12" s="749">
        <v>7</v>
      </c>
      <c r="I12" s="749">
        <v>8</v>
      </c>
      <c r="J12" s="749">
        <v>9</v>
      </c>
      <c r="K12" s="749">
        <v>10</v>
      </c>
      <c r="L12" s="749">
        <v>11</v>
      </c>
      <c r="M12" s="749">
        <v>12</v>
      </c>
      <c r="N12" s="749">
        <v>13</v>
      </c>
      <c r="O12" s="749">
        <v>14</v>
      </c>
      <c r="P12" s="749">
        <v>15</v>
      </c>
      <c r="Q12" s="749"/>
      <c r="R12" s="750">
        <v>16</v>
      </c>
      <c r="S12" s="750">
        <v>17</v>
      </c>
      <c r="T12" s="750">
        <v>18</v>
      </c>
    </row>
    <row r="13" spans="1:25" s="581" customFormat="1" ht="42">
      <c r="A13" s="752" t="s">
        <v>208</v>
      </c>
      <c r="B13" s="753"/>
      <c r="C13" s="754"/>
      <c r="D13" s="755"/>
      <c r="E13" s="755"/>
      <c r="F13" s="755"/>
      <c r="G13" s="755"/>
      <c r="H13" s="755"/>
      <c r="I13" s="755"/>
      <c r="J13" s="755"/>
      <c r="K13" s="755"/>
      <c r="L13" s="755"/>
      <c r="M13" s="755"/>
      <c r="N13" s="755"/>
      <c r="O13" s="755"/>
      <c r="P13" s="755"/>
      <c r="Q13" s="755"/>
      <c r="R13" s="756">
        <f>R14+R19+R24+R29+R34+R39+R49+R55+R60+R65+R70+R75</f>
        <v>318900000</v>
      </c>
      <c r="S13" s="757"/>
      <c r="T13" s="758">
        <f>T39+T24+T44+T49+T55+T60+T65+T70+T75+T14+T19+T29+T34</f>
        <v>100</v>
      </c>
    </row>
    <row r="14" spans="1:25" s="581" customFormat="1" ht="26.25" customHeight="1">
      <c r="A14" s="759" t="s">
        <v>209</v>
      </c>
      <c r="B14" s="760">
        <v>1</v>
      </c>
      <c r="C14" s="150" t="s">
        <v>210</v>
      </c>
      <c r="D14" s="151" t="s">
        <v>35</v>
      </c>
      <c r="E14" s="761">
        <v>0.08</v>
      </c>
      <c r="F14" s="761">
        <v>0.08</v>
      </c>
      <c r="G14" s="761">
        <v>0.09</v>
      </c>
      <c r="H14" s="761">
        <v>0.08</v>
      </c>
      <c r="I14" s="761">
        <v>0.08</v>
      </c>
      <c r="J14" s="761">
        <v>0.09</v>
      </c>
      <c r="K14" s="761">
        <v>0.08</v>
      </c>
      <c r="L14" s="761">
        <v>0.08</v>
      </c>
      <c r="M14" s="761">
        <v>0.09</v>
      </c>
      <c r="N14" s="761">
        <v>0.08</v>
      </c>
      <c r="O14" s="761">
        <v>0.08</v>
      </c>
      <c r="P14" s="761">
        <v>0.09</v>
      </c>
      <c r="Q14" s="762">
        <f>SUM(E14:P14)</f>
        <v>0.99999999999999978</v>
      </c>
      <c r="R14" s="154">
        <v>2640000</v>
      </c>
      <c r="S14" s="756" t="s">
        <v>60</v>
      </c>
      <c r="T14" s="763">
        <f>R14/$R$13*100</f>
        <v>0.82784571966133591</v>
      </c>
      <c r="Y14" s="581">
        <f>8*12</f>
        <v>96</v>
      </c>
    </row>
    <row r="15" spans="1:25" s="581" customFormat="1" ht="12.75">
      <c r="A15" s="764" t="s">
        <v>66</v>
      </c>
      <c r="B15" s="765"/>
      <c r="C15" s="755"/>
      <c r="D15" s="755"/>
      <c r="E15" s="766">
        <f>E14/$B$14*100</f>
        <v>8</v>
      </c>
      <c r="F15" s="766">
        <f t="shared" ref="F15:P15" si="0">F14/$B$14*100</f>
        <v>8</v>
      </c>
      <c r="G15" s="766">
        <f t="shared" si="0"/>
        <v>9</v>
      </c>
      <c r="H15" s="766">
        <f t="shared" si="0"/>
        <v>8</v>
      </c>
      <c r="I15" s="766">
        <f t="shared" si="0"/>
        <v>8</v>
      </c>
      <c r="J15" s="766">
        <f t="shared" si="0"/>
        <v>9</v>
      </c>
      <c r="K15" s="766">
        <f t="shared" si="0"/>
        <v>8</v>
      </c>
      <c r="L15" s="766">
        <f t="shared" si="0"/>
        <v>8</v>
      </c>
      <c r="M15" s="766">
        <f t="shared" si="0"/>
        <v>9</v>
      </c>
      <c r="N15" s="766">
        <f t="shared" si="0"/>
        <v>8</v>
      </c>
      <c r="O15" s="766">
        <f t="shared" si="0"/>
        <v>8</v>
      </c>
      <c r="P15" s="766">
        <f t="shared" si="0"/>
        <v>9</v>
      </c>
      <c r="Q15" s="766"/>
      <c r="R15" s="159"/>
      <c r="S15" s="756"/>
      <c r="T15" s="767"/>
    </row>
    <row r="16" spans="1:25" s="581" customFormat="1" ht="12.75">
      <c r="A16" s="764" t="s">
        <v>67</v>
      </c>
      <c r="B16" s="765"/>
      <c r="C16" s="755"/>
      <c r="D16" s="755"/>
      <c r="E16" s="766">
        <f>SUM($E15:E$15)</f>
        <v>8</v>
      </c>
      <c r="F16" s="766">
        <f>SUM($E15:F$15)</f>
        <v>16</v>
      </c>
      <c r="G16" s="766">
        <f>SUM($E15:G$15)</f>
        <v>25</v>
      </c>
      <c r="H16" s="766">
        <f>SUM($E15:H$15)</f>
        <v>33</v>
      </c>
      <c r="I16" s="766">
        <f>SUM($E15:I$15)</f>
        <v>41</v>
      </c>
      <c r="J16" s="766">
        <f>SUM($E15:J$15)</f>
        <v>50</v>
      </c>
      <c r="K16" s="766">
        <f>SUM($E15:K$15)</f>
        <v>58</v>
      </c>
      <c r="L16" s="766">
        <f>SUM($E15:L$15)</f>
        <v>66</v>
      </c>
      <c r="M16" s="766">
        <f>SUM($E15:M$15)</f>
        <v>75</v>
      </c>
      <c r="N16" s="766">
        <f>SUM($E15:N$15)</f>
        <v>83</v>
      </c>
      <c r="O16" s="766">
        <f>SUM($E15:O$15)</f>
        <v>91</v>
      </c>
      <c r="P16" s="766">
        <f>SUM($E15:P$15)</f>
        <v>100</v>
      </c>
      <c r="Q16" s="766"/>
      <c r="R16" s="161"/>
      <c r="S16" s="756" t="s">
        <v>60</v>
      </c>
      <c r="T16" s="767"/>
    </row>
    <row r="17" spans="1:25" s="581" customFormat="1" ht="12.75">
      <c r="A17" s="764" t="s">
        <v>68</v>
      </c>
      <c r="B17" s="765"/>
      <c r="C17" s="755"/>
      <c r="D17" s="755"/>
      <c r="E17" s="766">
        <f>E15*$T$14/100</f>
        <v>6.622765757290687E-2</v>
      </c>
      <c r="F17" s="766">
        <f t="shared" ref="F17:P17" si="1">F15*$T$14/100</f>
        <v>6.622765757290687E-2</v>
      </c>
      <c r="G17" s="766">
        <f t="shared" si="1"/>
        <v>7.4506114769520237E-2</v>
      </c>
      <c r="H17" s="766">
        <f t="shared" si="1"/>
        <v>6.622765757290687E-2</v>
      </c>
      <c r="I17" s="766">
        <f t="shared" si="1"/>
        <v>6.622765757290687E-2</v>
      </c>
      <c r="J17" s="766">
        <f t="shared" si="1"/>
        <v>7.4506114769520237E-2</v>
      </c>
      <c r="K17" s="766">
        <f t="shared" si="1"/>
        <v>6.622765757290687E-2</v>
      </c>
      <c r="L17" s="766">
        <f t="shared" si="1"/>
        <v>6.622765757290687E-2</v>
      </c>
      <c r="M17" s="766">
        <f t="shared" si="1"/>
        <v>7.4506114769520237E-2</v>
      </c>
      <c r="N17" s="766">
        <f t="shared" si="1"/>
        <v>6.622765757290687E-2</v>
      </c>
      <c r="O17" s="766">
        <f t="shared" si="1"/>
        <v>6.622765757290687E-2</v>
      </c>
      <c r="P17" s="766">
        <f t="shared" si="1"/>
        <v>7.4506114769520237E-2</v>
      </c>
      <c r="Q17" s="766"/>
      <c r="R17" s="161"/>
      <c r="S17" s="756"/>
      <c r="T17" s="767"/>
    </row>
    <row r="18" spans="1:25" s="581" customFormat="1" ht="12.75">
      <c r="A18" s="752"/>
      <c r="B18" s="765"/>
      <c r="C18" s="755"/>
      <c r="D18" s="755"/>
      <c r="E18" s="755"/>
      <c r="F18" s="755"/>
      <c r="G18" s="755"/>
      <c r="H18" s="755"/>
      <c r="I18" s="755"/>
      <c r="J18" s="755"/>
      <c r="K18" s="755"/>
      <c r="L18" s="755"/>
      <c r="M18" s="755"/>
      <c r="N18" s="755"/>
      <c r="O18" s="755"/>
      <c r="P18" s="755"/>
      <c r="Q18" s="755"/>
      <c r="R18" s="145"/>
      <c r="S18" s="756"/>
      <c r="T18" s="767"/>
    </row>
    <row r="19" spans="1:25" s="769" customFormat="1" ht="56.25">
      <c r="A19" s="163" t="s">
        <v>211</v>
      </c>
      <c r="B19" s="164">
        <v>100</v>
      </c>
      <c r="C19" s="165" t="s">
        <v>212</v>
      </c>
      <c r="D19" s="151" t="s">
        <v>35</v>
      </c>
      <c r="E19" s="762">
        <v>8</v>
      </c>
      <c r="F19" s="762">
        <v>8</v>
      </c>
      <c r="G19" s="762">
        <v>8</v>
      </c>
      <c r="H19" s="762">
        <v>8</v>
      </c>
      <c r="I19" s="762">
        <v>8</v>
      </c>
      <c r="J19" s="762">
        <v>10</v>
      </c>
      <c r="K19" s="762">
        <v>8</v>
      </c>
      <c r="L19" s="762">
        <v>8</v>
      </c>
      <c r="M19" s="762">
        <v>10</v>
      </c>
      <c r="N19" s="762">
        <v>8</v>
      </c>
      <c r="O19" s="762">
        <v>8</v>
      </c>
      <c r="P19" s="762">
        <v>8</v>
      </c>
      <c r="Q19" s="762">
        <f>SUM(E19:P19)</f>
        <v>100</v>
      </c>
      <c r="R19" s="166">
        <v>34265000</v>
      </c>
      <c r="S19" s="768"/>
      <c r="T19" s="763">
        <f>R19/$R$13*100</f>
        <v>10.744747569771087</v>
      </c>
      <c r="V19" s="770">
        <f>SUM(E19:P19)</f>
        <v>100</v>
      </c>
    </row>
    <row r="20" spans="1:25" s="769" customFormat="1" ht="12.75">
      <c r="A20" s="764" t="s">
        <v>66</v>
      </c>
      <c r="B20" s="771"/>
      <c r="C20" s="772"/>
      <c r="D20" s="773"/>
      <c r="E20" s="766">
        <f>E19/$B$19*100</f>
        <v>8</v>
      </c>
      <c r="F20" s="766">
        <f t="shared" ref="F20:P20" si="2">F19/$B$19*100</f>
        <v>8</v>
      </c>
      <c r="G20" s="766">
        <f t="shared" si="2"/>
        <v>8</v>
      </c>
      <c r="H20" s="766">
        <f t="shared" si="2"/>
        <v>8</v>
      </c>
      <c r="I20" s="766">
        <f t="shared" si="2"/>
        <v>8</v>
      </c>
      <c r="J20" s="766">
        <f t="shared" si="2"/>
        <v>10</v>
      </c>
      <c r="K20" s="766">
        <f t="shared" si="2"/>
        <v>8</v>
      </c>
      <c r="L20" s="766">
        <f t="shared" si="2"/>
        <v>8</v>
      </c>
      <c r="M20" s="766">
        <f t="shared" si="2"/>
        <v>10</v>
      </c>
      <c r="N20" s="766">
        <f t="shared" si="2"/>
        <v>8</v>
      </c>
      <c r="O20" s="766">
        <f t="shared" si="2"/>
        <v>8</v>
      </c>
      <c r="P20" s="766">
        <f t="shared" si="2"/>
        <v>8</v>
      </c>
      <c r="Q20" s="766"/>
      <c r="R20" s="159"/>
      <c r="S20" s="774"/>
      <c r="T20" s="775"/>
    </row>
    <row r="21" spans="1:25" s="769" customFormat="1" ht="12.75">
      <c r="A21" s="764" t="s">
        <v>67</v>
      </c>
      <c r="B21" s="771"/>
      <c r="C21" s="772"/>
      <c r="D21" s="773"/>
      <c r="E21" s="766">
        <f ca="1">SUM($E20:E$40)</f>
        <v>8</v>
      </c>
      <c r="F21" s="766">
        <f ca="1">SUM($E20:F$40)</f>
        <v>16</v>
      </c>
      <c r="G21" s="766">
        <f ca="1">SUM($E20:G$40)</f>
        <v>24</v>
      </c>
      <c r="H21" s="766">
        <f ca="1">SUM($E20:H$40)</f>
        <v>32</v>
      </c>
      <c r="I21" s="766">
        <f ca="1">SUM($E20:I$40)</f>
        <v>40</v>
      </c>
      <c r="J21" s="766">
        <f ca="1">SUM($E20:J$40)</f>
        <v>50</v>
      </c>
      <c r="K21" s="766">
        <f ca="1">SUM($E20:K$40)</f>
        <v>58</v>
      </c>
      <c r="L21" s="766">
        <f ca="1">SUM($E20:L$40)</f>
        <v>66</v>
      </c>
      <c r="M21" s="766">
        <f ca="1">SUM($E20:M$40)</f>
        <v>76</v>
      </c>
      <c r="N21" s="766">
        <f ca="1">SUM($E20:N$40)</f>
        <v>84</v>
      </c>
      <c r="O21" s="766">
        <f ca="1">SUM($E20:O$40)</f>
        <v>92</v>
      </c>
      <c r="P21" s="766">
        <f ca="1">SUM($E20:P$40)</f>
        <v>100</v>
      </c>
      <c r="Q21" s="766"/>
      <c r="R21" s="161"/>
      <c r="S21" s="776"/>
      <c r="T21" s="775"/>
    </row>
    <row r="22" spans="1:25" s="769" customFormat="1" ht="12.75">
      <c r="A22" s="764" t="s">
        <v>68</v>
      </c>
      <c r="B22" s="771"/>
      <c r="C22" s="772"/>
      <c r="D22" s="773"/>
      <c r="E22" s="766">
        <f>E20*$T$19/100</f>
        <v>0.85957980558168701</v>
      </c>
      <c r="F22" s="766">
        <f t="shared" ref="F22:P22" si="3">F20*$T$19/100</f>
        <v>0.85957980558168701</v>
      </c>
      <c r="G22" s="766">
        <f t="shared" si="3"/>
        <v>0.85957980558168701</v>
      </c>
      <c r="H22" s="766">
        <f t="shared" si="3"/>
        <v>0.85957980558168701</v>
      </c>
      <c r="I22" s="766">
        <f t="shared" si="3"/>
        <v>0.85957980558168701</v>
      </c>
      <c r="J22" s="766">
        <f t="shared" si="3"/>
        <v>1.0744747569771087</v>
      </c>
      <c r="K22" s="766">
        <f t="shared" si="3"/>
        <v>0.85957980558168701</v>
      </c>
      <c r="L22" s="766">
        <f t="shared" si="3"/>
        <v>0.85957980558168701</v>
      </c>
      <c r="M22" s="766">
        <f t="shared" si="3"/>
        <v>1.0744747569771087</v>
      </c>
      <c r="N22" s="766">
        <f t="shared" si="3"/>
        <v>0.85957980558168701</v>
      </c>
      <c r="O22" s="766">
        <f t="shared" si="3"/>
        <v>0.85957980558168701</v>
      </c>
      <c r="P22" s="766">
        <f t="shared" si="3"/>
        <v>0.85957980558168701</v>
      </c>
      <c r="Q22" s="766"/>
      <c r="R22" s="161"/>
      <c r="S22" s="776"/>
      <c r="T22" s="775"/>
    </row>
    <row r="23" spans="1:25" s="769" customFormat="1" ht="8.25" customHeight="1">
      <c r="A23" s="777"/>
      <c r="B23" s="778"/>
      <c r="C23" s="779"/>
      <c r="D23" s="780"/>
      <c r="E23" s="781"/>
      <c r="F23" s="781"/>
      <c r="G23" s="781"/>
      <c r="H23" s="781"/>
      <c r="I23" s="781"/>
      <c r="J23" s="781"/>
      <c r="K23" s="781"/>
      <c r="L23" s="781"/>
      <c r="M23" s="781"/>
      <c r="N23" s="781"/>
      <c r="O23" s="781"/>
      <c r="P23" s="781"/>
      <c r="Q23" s="781"/>
      <c r="R23" s="178"/>
      <c r="S23" s="782"/>
      <c r="T23" s="783"/>
    </row>
    <row r="24" spans="1:25" s="769" customFormat="1" ht="67.5">
      <c r="A24" s="784" t="s">
        <v>213</v>
      </c>
      <c r="B24" s="785">
        <v>300</v>
      </c>
      <c r="C24" s="786" t="s">
        <v>199</v>
      </c>
      <c r="D24" s="787" t="s">
        <v>35</v>
      </c>
      <c r="E24" s="788">
        <v>15</v>
      </c>
      <c r="F24" s="788">
        <v>30</v>
      </c>
      <c r="G24" s="788">
        <v>30</v>
      </c>
      <c r="H24" s="788">
        <v>30</v>
      </c>
      <c r="I24" s="788">
        <v>30</v>
      </c>
      <c r="J24" s="788">
        <v>25</v>
      </c>
      <c r="K24" s="788">
        <v>25</v>
      </c>
      <c r="L24" s="788">
        <v>30</v>
      </c>
      <c r="M24" s="788">
        <v>30</v>
      </c>
      <c r="N24" s="788">
        <v>30</v>
      </c>
      <c r="O24" s="788">
        <v>20</v>
      </c>
      <c r="P24" s="788">
        <v>5</v>
      </c>
      <c r="Q24" s="789">
        <f>SUM(E24:P24)</f>
        <v>300</v>
      </c>
      <c r="R24" s="185">
        <v>44020000</v>
      </c>
      <c r="S24" s="790"/>
      <c r="T24" s="763">
        <f>R24/$R$13*100</f>
        <v>13.803700219504547</v>
      </c>
      <c r="V24" s="770">
        <f>SUM(E24:P24)</f>
        <v>300</v>
      </c>
      <c r="Y24" s="769" t="s">
        <v>60</v>
      </c>
    </row>
    <row r="25" spans="1:25" s="769" customFormat="1" ht="12.75">
      <c r="A25" s="764" t="s">
        <v>66</v>
      </c>
      <c r="B25" s="771"/>
      <c r="C25" s="772"/>
      <c r="D25" s="791"/>
      <c r="E25" s="792">
        <f t="shared" ref="E25:P25" si="4">E24/$B$24*100</f>
        <v>5</v>
      </c>
      <c r="F25" s="792">
        <f t="shared" si="4"/>
        <v>10</v>
      </c>
      <c r="G25" s="792">
        <f t="shared" si="4"/>
        <v>10</v>
      </c>
      <c r="H25" s="792">
        <f t="shared" si="4"/>
        <v>10</v>
      </c>
      <c r="I25" s="792">
        <f t="shared" si="4"/>
        <v>10</v>
      </c>
      <c r="J25" s="792">
        <f t="shared" si="4"/>
        <v>8.3333333333333321</v>
      </c>
      <c r="K25" s="792">
        <f t="shared" si="4"/>
        <v>8.3333333333333321</v>
      </c>
      <c r="L25" s="792">
        <f t="shared" si="4"/>
        <v>10</v>
      </c>
      <c r="M25" s="792">
        <f t="shared" si="4"/>
        <v>10</v>
      </c>
      <c r="N25" s="792">
        <f t="shared" si="4"/>
        <v>10</v>
      </c>
      <c r="O25" s="792">
        <f t="shared" si="4"/>
        <v>6.666666666666667</v>
      </c>
      <c r="P25" s="792">
        <f t="shared" si="4"/>
        <v>1.6666666666666667</v>
      </c>
      <c r="Q25" s="792"/>
      <c r="R25" s="159"/>
      <c r="S25" s="774"/>
      <c r="T25" s="775"/>
    </row>
    <row r="26" spans="1:25" s="769" customFormat="1" ht="12.75">
      <c r="A26" s="764" t="s">
        <v>67</v>
      </c>
      <c r="B26" s="771"/>
      <c r="C26" s="772"/>
      <c r="D26" s="791"/>
      <c r="E26" s="792">
        <f>SUM($E$25:E25)</f>
        <v>5</v>
      </c>
      <c r="F26" s="792">
        <f>SUM($E$25:F25)</f>
        <v>15</v>
      </c>
      <c r="G26" s="792">
        <f>SUM($E$25:G25)</f>
        <v>25</v>
      </c>
      <c r="H26" s="792">
        <f>SUM($E$25:H25)</f>
        <v>35</v>
      </c>
      <c r="I26" s="792">
        <f>SUM($E$25:I25)</f>
        <v>45</v>
      </c>
      <c r="J26" s="792">
        <f>SUM($E$25:J25)</f>
        <v>53.333333333333329</v>
      </c>
      <c r="K26" s="792">
        <f>SUM($E$25:K25)</f>
        <v>61.666666666666657</v>
      </c>
      <c r="L26" s="792">
        <f>SUM($E$25:L25)</f>
        <v>71.666666666666657</v>
      </c>
      <c r="M26" s="792">
        <f>SUM($E$25:M25)</f>
        <v>81.666666666666657</v>
      </c>
      <c r="N26" s="792">
        <f>SUM($E$25:N25)</f>
        <v>91.666666666666657</v>
      </c>
      <c r="O26" s="792">
        <f>SUM($E$25:O25)</f>
        <v>98.333333333333329</v>
      </c>
      <c r="P26" s="792">
        <f>SUM($E$25:P25)</f>
        <v>100</v>
      </c>
      <c r="Q26" s="792"/>
      <c r="R26" s="161"/>
      <c r="S26" s="776"/>
      <c r="T26" s="775"/>
    </row>
    <row r="27" spans="1:25" s="769" customFormat="1" ht="12.75">
      <c r="A27" s="764" t="s">
        <v>68</v>
      </c>
      <c r="B27" s="771"/>
      <c r="C27" s="772"/>
      <c r="D27" s="791"/>
      <c r="E27" s="792">
        <f t="shared" ref="E27:P27" si="5">E25*$T$24/100</f>
        <v>0.69018501097522733</v>
      </c>
      <c r="F27" s="792">
        <f t="shared" si="5"/>
        <v>1.3803700219504547</v>
      </c>
      <c r="G27" s="792">
        <f t="shared" si="5"/>
        <v>1.3803700219504547</v>
      </c>
      <c r="H27" s="792">
        <f t="shared" si="5"/>
        <v>1.3803700219504547</v>
      </c>
      <c r="I27" s="792">
        <f t="shared" si="5"/>
        <v>1.3803700219504547</v>
      </c>
      <c r="J27" s="792">
        <f t="shared" si="5"/>
        <v>1.1503083516253787</v>
      </c>
      <c r="K27" s="792">
        <f t="shared" si="5"/>
        <v>1.1503083516253787</v>
      </c>
      <c r="L27" s="792">
        <f t="shared" si="5"/>
        <v>1.3803700219504547</v>
      </c>
      <c r="M27" s="792">
        <f t="shared" si="5"/>
        <v>1.3803700219504547</v>
      </c>
      <c r="N27" s="792">
        <f t="shared" si="5"/>
        <v>1.3803700219504547</v>
      </c>
      <c r="O27" s="792">
        <f t="shared" si="5"/>
        <v>0.92024668130030318</v>
      </c>
      <c r="P27" s="792">
        <f t="shared" si="5"/>
        <v>0.2300616703250758</v>
      </c>
      <c r="Q27" s="792"/>
      <c r="R27" s="161"/>
      <c r="S27" s="776"/>
      <c r="T27" s="775"/>
    </row>
    <row r="28" spans="1:25" s="769" customFormat="1" ht="8.25" customHeight="1">
      <c r="A28" s="793"/>
      <c r="B28" s="771"/>
      <c r="C28" s="772"/>
      <c r="D28" s="791"/>
      <c r="E28" s="792"/>
      <c r="F28" s="792"/>
      <c r="G28" s="792"/>
      <c r="H28" s="792"/>
      <c r="I28" s="792"/>
      <c r="J28" s="792"/>
      <c r="K28" s="792"/>
      <c r="L28" s="792"/>
      <c r="M28" s="792"/>
      <c r="N28" s="792"/>
      <c r="O28" s="792"/>
      <c r="P28" s="792"/>
      <c r="Q28" s="792"/>
      <c r="R28" s="161"/>
      <c r="S28" s="776"/>
      <c r="T28" s="775"/>
    </row>
    <row r="29" spans="1:25" s="769" customFormat="1" ht="12.75">
      <c r="A29" s="794" t="s">
        <v>214</v>
      </c>
      <c r="B29" s="795">
        <v>25</v>
      </c>
      <c r="C29" s="796" t="s">
        <v>199</v>
      </c>
      <c r="D29" s="787" t="s">
        <v>35</v>
      </c>
      <c r="E29" s="762">
        <v>2</v>
      </c>
      <c r="F29" s="762">
        <v>2</v>
      </c>
      <c r="G29" s="762">
        <v>2</v>
      </c>
      <c r="H29" s="762">
        <v>2</v>
      </c>
      <c r="I29" s="762">
        <v>3</v>
      </c>
      <c r="J29" s="762">
        <v>2</v>
      </c>
      <c r="K29" s="762">
        <v>2</v>
      </c>
      <c r="L29" s="762">
        <v>2</v>
      </c>
      <c r="M29" s="762">
        <v>2</v>
      </c>
      <c r="N29" s="762">
        <v>2</v>
      </c>
      <c r="O29" s="762">
        <v>2</v>
      </c>
      <c r="P29" s="762">
        <v>2</v>
      </c>
      <c r="Q29" s="762">
        <f>SUM(E29:P29)</f>
        <v>25</v>
      </c>
      <c r="R29" s="154">
        <v>0</v>
      </c>
      <c r="S29" s="797"/>
      <c r="T29" s="763">
        <f>R29/$R$13*100</f>
        <v>0</v>
      </c>
    </row>
    <row r="30" spans="1:25" s="769" customFormat="1" ht="12.75">
      <c r="A30" s="764" t="s">
        <v>66</v>
      </c>
      <c r="B30" s="771"/>
      <c r="C30" s="772"/>
      <c r="D30" s="791"/>
      <c r="E30" s="766">
        <f t="shared" ref="E30:P30" si="6">E29/$B$29*100</f>
        <v>8</v>
      </c>
      <c r="F30" s="766">
        <f t="shared" si="6"/>
        <v>8</v>
      </c>
      <c r="G30" s="766">
        <f t="shared" si="6"/>
        <v>8</v>
      </c>
      <c r="H30" s="766">
        <f t="shared" si="6"/>
        <v>8</v>
      </c>
      <c r="I30" s="766">
        <f t="shared" si="6"/>
        <v>12</v>
      </c>
      <c r="J30" s="766">
        <f t="shared" si="6"/>
        <v>8</v>
      </c>
      <c r="K30" s="766">
        <f t="shared" si="6"/>
        <v>8</v>
      </c>
      <c r="L30" s="766">
        <f t="shared" si="6"/>
        <v>8</v>
      </c>
      <c r="M30" s="766">
        <f t="shared" si="6"/>
        <v>8</v>
      </c>
      <c r="N30" s="766">
        <f t="shared" si="6"/>
        <v>8</v>
      </c>
      <c r="O30" s="766">
        <f t="shared" si="6"/>
        <v>8</v>
      </c>
      <c r="P30" s="766">
        <f t="shared" si="6"/>
        <v>8</v>
      </c>
      <c r="Q30" s="766"/>
      <c r="R30" s="159"/>
      <c r="S30" s="756"/>
      <c r="T30" s="775"/>
    </row>
    <row r="31" spans="1:25" s="769" customFormat="1" ht="12.75">
      <c r="A31" s="764" t="s">
        <v>67</v>
      </c>
      <c r="B31" s="771"/>
      <c r="C31" s="772"/>
      <c r="D31" s="791"/>
      <c r="E31" s="766">
        <f>SUM($E$30:E30)</f>
        <v>8</v>
      </c>
      <c r="F31" s="766">
        <f>SUM($E$30:F30)</f>
        <v>16</v>
      </c>
      <c r="G31" s="766">
        <f>SUM($E$30:G30)</f>
        <v>24</v>
      </c>
      <c r="H31" s="766">
        <f>SUM($E$30:H30)</f>
        <v>32</v>
      </c>
      <c r="I31" s="766">
        <f>SUM($E$30:I30)</f>
        <v>44</v>
      </c>
      <c r="J31" s="766">
        <f>SUM($E$30:J30)</f>
        <v>52</v>
      </c>
      <c r="K31" s="766">
        <f>SUM($E$30:K30)</f>
        <v>60</v>
      </c>
      <c r="L31" s="766">
        <f>SUM($E$30:L30)</f>
        <v>68</v>
      </c>
      <c r="M31" s="766">
        <f>SUM($E$30:M30)</f>
        <v>76</v>
      </c>
      <c r="N31" s="766">
        <f>SUM($E$30:N30)</f>
        <v>84</v>
      </c>
      <c r="O31" s="766">
        <f>SUM($E$30:O30)</f>
        <v>92</v>
      </c>
      <c r="P31" s="766">
        <f>SUM($E$30:P30)</f>
        <v>100</v>
      </c>
      <c r="Q31" s="766"/>
      <c r="R31" s="161"/>
      <c r="S31" s="756"/>
      <c r="T31" s="775"/>
    </row>
    <row r="32" spans="1:25" s="769" customFormat="1" ht="12.75">
      <c r="A32" s="764" t="s">
        <v>68</v>
      </c>
      <c r="B32" s="771"/>
      <c r="C32" s="772"/>
      <c r="D32" s="791"/>
      <c r="E32" s="766">
        <f t="shared" ref="E32:P32" si="7">E30*$T$29/100</f>
        <v>0</v>
      </c>
      <c r="F32" s="766">
        <f t="shared" si="7"/>
        <v>0</v>
      </c>
      <c r="G32" s="766">
        <f t="shared" si="7"/>
        <v>0</v>
      </c>
      <c r="H32" s="766">
        <f t="shared" si="7"/>
        <v>0</v>
      </c>
      <c r="I32" s="766">
        <f t="shared" si="7"/>
        <v>0</v>
      </c>
      <c r="J32" s="766">
        <f t="shared" si="7"/>
        <v>0</v>
      </c>
      <c r="K32" s="766">
        <f t="shared" si="7"/>
        <v>0</v>
      </c>
      <c r="L32" s="766">
        <f t="shared" si="7"/>
        <v>0</v>
      </c>
      <c r="M32" s="766">
        <f t="shared" si="7"/>
        <v>0</v>
      </c>
      <c r="N32" s="766">
        <f t="shared" si="7"/>
        <v>0</v>
      </c>
      <c r="O32" s="766">
        <f t="shared" si="7"/>
        <v>0</v>
      </c>
      <c r="P32" s="766">
        <f t="shared" si="7"/>
        <v>0</v>
      </c>
      <c r="Q32" s="766"/>
      <c r="R32" s="161"/>
      <c r="S32" s="756"/>
      <c r="T32" s="775"/>
    </row>
    <row r="33" spans="1:26" s="769" customFormat="1" ht="12.75">
      <c r="A33" s="798"/>
      <c r="B33" s="771"/>
      <c r="C33" s="772"/>
      <c r="D33" s="791"/>
      <c r="E33" s="792"/>
      <c r="F33" s="792"/>
      <c r="G33" s="792"/>
      <c r="H33" s="792"/>
      <c r="I33" s="792"/>
      <c r="J33" s="792"/>
      <c r="K33" s="792"/>
      <c r="L33" s="792"/>
      <c r="M33" s="792"/>
      <c r="N33" s="792"/>
      <c r="O33" s="792"/>
      <c r="P33" s="792"/>
      <c r="Q33" s="792"/>
      <c r="R33" s="161"/>
      <c r="S33" s="776"/>
      <c r="T33" s="775"/>
    </row>
    <row r="34" spans="1:26" s="769" customFormat="1" ht="27" customHeight="1">
      <c r="A34" s="799" t="s">
        <v>215</v>
      </c>
      <c r="B34" s="795">
        <v>50</v>
      </c>
      <c r="C34" s="796" t="s">
        <v>34</v>
      </c>
      <c r="D34" s="787" t="s">
        <v>35</v>
      </c>
      <c r="E34" s="762">
        <v>4</v>
      </c>
      <c r="F34" s="762">
        <v>4</v>
      </c>
      <c r="G34" s="762">
        <v>4</v>
      </c>
      <c r="H34" s="762">
        <v>4</v>
      </c>
      <c r="I34" s="762">
        <v>5</v>
      </c>
      <c r="J34" s="762">
        <v>4</v>
      </c>
      <c r="K34" s="762">
        <v>4</v>
      </c>
      <c r="L34" s="762">
        <v>4</v>
      </c>
      <c r="M34" s="762">
        <v>5</v>
      </c>
      <c r="N34" s="762">
        <v>4</v>
      </c>
      <c r="O34" s="762">
        <v>4</v>
      </c>
      <c r="P34" s="762">
        <v>4</v>
      </c>
      <c r="Q34" s="762">
        <f>SUM(E34:P34)</f>
        <v>50</v>
      </c>
      <c r="R34" s="154">
        <v>3300000</v>
      </c>
      <c r="S34" s="797" t="s">
        <v>60</v>
      </c>
      <c r="T34" s="763">
        <f>R34/$R$13*100</f>
        <v>1.03480714957667</v>
      </c>
      <c r="Z34" s="769" t="s">
        <v>60</v>
      </c>
    </row>
    <row r="35" spans="1:26" s="769" customFormat="1" ht="12.75">
      <c r="A35" s="764" t="s">
        <v>66</v>
      </c>
      <c r="B35" s="771"/>
      <c r="C35" s="772"/>
      <c r="D35" s="791"/>
      <c r="E35" s="766">
        <f t="shared" ref="E35:Q35" si="8">E34/$B$34*100</f>
        <v>8</v>
      </c>
      <c r="F35" s="766">
        <f t="shared" si="8"/>
        <v>8</v>
      </c>
      <c r="G35" s="766">
        <f t="shared" si="8"/>
        <v>8</v>
      </c>
      <c r="H35" s="766">
        <f t="shared" si="8"/>
        <v>8</v>
      </c>
      <c r="I35" s="766">
        <f t="shared" si="8"/>
        <v>10</v>
      </c>
      <c r="J35" s="766">
        <f t="shared" si="8"/>
        <v>8</v>
      </c>
      <c r="K35" s="766">
        <f t="shared" si="8"/>
        <v>8</v>
      </c>
      <c r="L35" s="766">
        <f t="shared" si="8"/>
        <v>8</v>
      </c>
      <c r="M35" s="766">
        <f t="shared" si="8"/>
        <v>10</v>
      </c>
      <c r="N35" s="766">
        <f t="shared" si="8"/>
        <v>8</v>
      </c>
      <c r="O35" s="766">
        <f t="shared" si="8"/>
        <v>8</v>
      </c>
      <c r="P35" s="766">
        <f t="shared" si="8"/>
        <v>8</v>
      </c>
      <c r="Q35" s="766">
        <f t="shared" si="8"/>
        <v>100</v>
      </c>
      <c r="R35" s="159"/>
      <c r="S35" s="756"/>
      <c r="T35" s="775"/>
    </row>
    <row r="36" spans="1:26" s="769" customFormat="1" ht="12.75">
      <c r="A36" s="764" t="s">
        <v>67</v>
      </c>
      <c r="B36" s="771"/>
      <c r="C36" s="772"/>
      <c r="D36" s="791"/>
      <c r="E36" s="766">
        <f>SUM($E$35:E35)</f>
        <v>8</v>
      </c>
      <c r="F36" s="766">
        <f>SUM($E$35:F35)</f>
        <v>16</v>
      </c>
      <c r="G36" s="766">
        <f>SUM($E$35:G35)</f>
        <v>24</v>
      </c>
      <c r="H36" s="766">
        <f>SUM($E$35:H35)</f>
        <v>32</v>
      </c>
      <c r="I36" s="766">
        <f>SUM($E$35:I35)</f>
        <v>42</v>
      </c>
      <c r="J36" s="766">
        <f>SUM($E$35:J35)</f>
        <v>50</v>
      </c>
      <c r="K36" s="766">
        <f>SUM($E$35:K35)</f>
        <v>58</v>
      </c>
      <c r="L36" s="766">
        <f>SUM($E$35:L35)</f>
        <v>66</v>
      </c>
      <c r="M36" s="766">
        <f>SUM($E$35:M35)</f>
        <v>76</v>
      </c>
      <c r="N36" s="766">
        <f>SUM($E$35:N35)</f>
        <v>84</v>
      </c>
      <c r="O36" s="766">
        <f>SUM($E$35:O35)</f>
        <v>92</v>
      </c>
      <c r="P36" s="766">
        <f>SUM($E$35:P35)</f>
        <v>100</v>
      </c>
      <c r="Q36" s="766"/>
      <c r="R36" s="161"/>
      <c r="S36" s="756"/>
      <c r="T36" s="775"/>
    </row>
    <row r="37" spans="1:26" s="769" customFormat="1" ht="12.75">
      <c r="A37" s="764" t="s">
        <v>68</v>
      </c>
      <c r="B37" s="771"/>
      <c r="C37" s="772"/>
      <c r="D37" s="791"/>
      <c r="E37" s="766">
        <f t="shared" ref="E37:P37" si="9">E35*$T$34/100</f>
        <v>8.2784571966133591E-2</v>
      </c>
      <c r="F37" s="766">
        <f t="shared" si="9"/>
        <v>8.2784571966133591E-2</v>
      </c>
      <c r="G37" s="766">
        <f t="shared" si="9"/>
        <v>8.2784571966133591E-2</v>
      </c>
      <c r="H37" s="766">
        <f t="shared" si="9"/>
        <v>8.2784571966133591E-2</v>
      </c>
      <c r="I37" s="766">
        <f t="shared" si="9"/>
        <v>0.103480714957667</v>
      </c>
      <c r="J37" s="766">
        <f t="shared" si="9"/>
        <v>8.2784571966133591E-2</v>
      </c>
      <c r="K37" s="766">
        <f t="shared" si="9"/>
        <v>8.2784571966133591E-2</v>
      </c>
      <c r="L37" s="766">
        <f t="shared" si="9"/>
        <v>8.2784571966133591E-2</v>
      </c>
      <c r="M37" s="766">
        <f t="shared" si="9"/>
        <v>0.103480714957667</v>
      </c>
      <c r="N37" s="766">
        <f t="shared" si="9"/>
        <v>8.2784571966133591E-2</v>
      </c>
      <c r="O37" s="766">
        <f t="shared" si="9"/>
        <v>8.2784571966133591E-2</v>
      </c>
      <c r="P37" s="766">
        <f t="shared" si="9"/>
        <v>8.2784571966133591E-2</v>
      </c>
      <c r="Q37" s="766"/>
      <c r="R37" s="161"/>
      <c r="S37" s="756"/>
      <c r="T37" s="775"/>
    </row>
    <row r="38" spans="1:26" s="769" customFormat="1" ht="12.75">
      <c r="A38" s="798"/>
      <c r="B38" s="771"/>
      <c r="C38" s="772"/>
      <c r="D38" s="791"/>
      <c r="E38" s="792"/>
      <c r="F38" s="792"/>
      <c r="G38" s="792"/>
      <c r="H38" s="792"/>
      <c r="I38" s="792"/>
      <c r="J38" s="792"/>
      <c r="K38" s="792"/>
      <c r="L38" s="792"/>
      <c r="M38" s="792"/>
      <c r="N38" s="792"/>
      <c r="O38" s="792"/>
      <c r="P38" s="792"/>
      <c r="Q38" s="792"/>
      <c r="R38" s="161"/>
      <c r="S38" s="776"/>
      <c r="T38" s="775"/>
    </row>
    <row r="39" spans="1:26" s="769" customFormat="1" ht="45">
      <c r="A39" s="163" t="s">
        <v>216</v>
      </c>
      <c r="B39" s="164">
        <v>1</v>
      </c>
      <c r="C39" s="165" t="s">
        <v>210</v>
      </c>
      <c r="D39" s="151" t="s">
        <v>35</v>
      </c>
      <c r="E39" s="761">
        <v>0.09</v>
      </c>
      <c r="F39" s="761">
        <v>0.08</v>
      </c>
      <c r="G39" s="761">
        <v>0.08</v>
      </c>
      <c r="H39" s="761">
        <v>0.08</v>
      </c>
      <c r="I39" s="761">
        <v>0.08</v>
      </c>
      <c r="J39" s="761">
        <v>0.09</v>
      </c>
      <c r="K39" s="761">
        <v>0.08</v>
      </c>
      <c r="L39" s="761">
        <v>0.08</v>
      </c>
      <c r="M39" s="761">
        <v>0.09</v>
      </c>
      <c r="N39" s="761">
        <v>0.08</v>
      </c>
      <c r="O39" s="761">
        <v>0.08</v>
      </c>
      <c r="P39" s="761">
        <v>0.09</v>
      </c>
      <c r="Q39" s="762">
        <f>SUM(E39:P39)</f>
        <v>0.99999999999999978</v>
      </c>
      <c r="R39" s="166">
        <v>75315000</v>
      </c>
      <c r="S39" s="768"/>
      <c r="T39" s="763">
        <f>R39/$R$13*100</f>
        <v>23.617121354656632</v>
      </c>
      <c r="V39" s="770">
        <f>SUM(E39:P39)</f>
        <v>0.99999999999999978</v>
      </c>
    </row>
    <row r="40" spans="1:26" s="769" customFormat="1" ht="12.75">
      <c r="A40" s="764" t="s">
        <v>66</v>
      </c>
      <c r="B40" s="771"/>
      <c r="C40" s="772"/>
      <c r="D40" s="773"/>
      <c r="E40" s="766">
        <f>E39/$B$39*100</f>
        <v>9</v>
      </c>
      <c r="F40" s="766">
        <f>F39/$B$39*100</f>
        <v>8</v>
      </c>
      <c r="G40" s="766">
        <f>G39/$B$39*100</f>
        <v>8</v>
      </c>
      <c r="H40" s="766">
        <f t="shared" ref="H40:P40" si="10">H39/$B$39*100</f>
        <v>8</v>
      </c>
      <c r="I40" s="766">
        <f t="shared" si="10"/>
        <v>8</v>
      </c>
      <c r="J40" s="766">
        <f t="shared" si="10"/>
        <v>9</v>
      </c>
      <c r="K40" s="766">
        <f t="shared" si="10"/>
        <v>8</v>
      </c>
      <c r="L40" s="766">
        <f t="shared" si="10"/>
        <v>8</v>
      </c>
      <c r="M40" s="766">
        <f t="shared" si="10"/>
        <v>9</v>
      </c>
      <c r="N40" s="766">
        <f t="shared" si="10"/>
        <v>8</v>
      </c>
      <c r="O40" s="766">
        <f t="shared" si="10"/>
        <v>8</v>
      </c>
      <c r="P40" s="766">
        <f t="shared" si="10"/>
        <v>9</v>
      </c>
      <c r="Q40" s="766"/>
      <c r="R40" s="159"/>
      <c r="S40" s="774"/>
      <c r="T40" s="775"/>
    </row>
    <row r="41" spans="1:26" s="769" customFormat="1" ht="12.75">
      <c r="A41" s="764" t="s">
        <v>67</v>
      </c>
      <c r="B41" s="771"/>
      <c r="C41" s="772"/>
      <c r="D41" s="773"/>
      <c r="E41" s="766">
        <f>SUM($E$40:E40)</f>
        <v>9</v>
      </c>
      <c r="F41" s="766">
        <f>SUM($E$40:F40)</f>
        <v>17</v>
      </c>
      <c r="G41" s="766">
        <f>SUM($E$40:G40)</f>
        <v>25</v>
      </c>
      <c r="H41" s="766">
        <f>SUM($E$40:H40)</f>
        <v>33</v>
      </c>
      <c r="I41" s="766">
        <f>SUM($E$40:I40)</f>
        <v>41</v>
      </c>
      <c r="J41" s="766">
        <f>SUM($E$40:J40)</f>
        <v>50</v>
      </c>
      <c r="K41" s="766">
        <f>SUM($E$40:K40)</f>
        <v>58</v>
      </c>
      <c r="L41" s="766">
        <f>SUM($E$40:L40)</f>
        <v>66</v>
      </c>
      <c r="M41" s="766">
        <f>SUM($E$40:M40)</f>
        <v>75</v>
      </c>
      <c r="N41" s="766">
        <f>SUM($E$40:N40)</f>
        <v>83</v>
      </c>
      <c r="O41" s="766">
        <f>SUM($E$40:O40)</f>
        <v>91</v>
      </c>
      <c r="P41" s="766">
        <f>SUM($E$40:P40)</f>
        <v>100</v>
      </c>
      <c r="Q41" s="766"/>
      <c r="R41" s="161"/>
      <c r="S41" s="776"/>
      <c r="T41" s="775"/>
    </row>
    <row r="42" spans="1:26" s="769" customFormat="1" ht="12.75">
      <c r="A42" s="764" t="s">
        <v>68</v>
      </c>
      <c r="B42" s="771"/>
      <c r="C42" s="772"/>
      <c r="D42" s="773"/>
      <c r="E42" s="766">
        <f>E40*$T$39/100</f>
        <v>2.125540921919097</v>
      </c>
      <c r="F42" s="766">
        <f t="shared" ref="F42:P42" si="11">F40*$T$39/100</f>
        <v>1.8893697083725305</v>
      </c>
      <c r="G42" s="766">
        <f t="shared" si="11"/>
        <v>1.8893697083725305</v>
      </c>
      <c r="H42" s="766">
        <f t="shared" si="11"/>
        <v>1.8893697083725305</v>
      </c>
      <c r="I42" s="766">
        <f t="shared" si="11"/>
        <v>1.8893697083725305</v>
      </c>
      <c r="J42" s="766">
        <f t="shared" si="11"/>
        <v>2.125540921919097</v>
      </c>
      <c r="K42" s="766">
        <f t="shared" si="11"/>
        <v>1.8893697083725305</v>
      </c>
      <c r="L42" s="766">
        <f t="shared" si="11"/>
        <v>1.8893697083725305</v>
      </c>
      <c r="M42" s="766">
        <f t="shared" si="11"/>
        <v>2.125540921919097</v>
      </c>
      <c r="N42" s="766">
        <f t="shared" si="11"/>
        <v>1.8893697083725305</v>
      </c>
      <c r="O42" s="766">
        <f t="shared" si="11"/>
        <v>1.8893697083725305</v>
      </c>
      <c r="P42" s="766">
        <f t="shared" si="11"/>
        <v>2.125540921919097</v>
      </c>
      <c r="Q42" s="766"/>
      <c r="R42" s="161"/>
      <c r="S42" s="776"/>
      <c r="T42" s="775"/>
    </row>
    <row r="43" spans="1:26" s="769" customFormat="1" ht="8.25" customHeight="1">
      <c r="A43" s="777"/>
      <c r="B43" s="778"/>
      <c r="C43" s="779"/>
      <c r="D43" s="780"/>
      <c r="E43" s="781"/>
      <c r="F43" s="781"/>
      <c r="G43" s="781"/>
      <c r="H43" s="781"/>
      <c r="I43" s="781"/>
      <c r="J43" s="781"/>
      <c r="K43" s="781"/>
      <c r="L43" s="781"/>
      <c r="M43" s="781"/>
      <c r="N43" s="781"/>
      <c r="O43" s="781"/>
      <c r="P43" s="781"/>
      <c r="Q43" s="781"/>
      <c r="R43" s="178"/>
      <c r="S43" s="782"/>
      <c r="T43" s="783"/>
    </row>
    <row r="44" spans="1:26" s="769" customFormat="1" ht="12.75" hidden="1" customHeight="1">
      <c r="A44" s="784"/>
      <c r="B44" s="785"/>
      <c r="C44" s="786"/>
      <c r="D44" s="787"/>
      <c r="E44" s="788"/>
      <c r="F44" s="788"/>
      <c r="G44" s="788"/>
      <c r="H44" s="788"/>
      <c r="I44" s="788"/>
      <c r="J44" s="788"/>
      <c r="K44" s="788"/>
      <c r="L44" s="788"/>
      <c r="M44" s="788"/>
      <c r="N44" s="788"/>
      <c r="O44" s="788"/>
      <c r="P44" s="788"/>
      <c r="Q44" s="788"/>
      <c r="R44" s="154"/>
      <c r="S44" s="790"/>
      <c r="T44" s="800"/>
      <c r="V44" s="770"/>
    </row>
    <row r="45" spans="1:26" s="769" customFormat="1" ht="12.75" hidden="1" customHeight="1">
      <c r="A45" s="764"/>
      <c r="B45" s="771"/>
      <c r="C45" s="772"/>
      <c r="D45" s="791"/>
      <c r="E45" s="792"/>
      <c r="F45" s="792"/>
      <c r="G45" s="792"/>
      <c r="H45" s="792"/>
      <c r="I45" s="792"/>
      <c r="J45" s="792"/>
      <c r="K45" s="792"/>
      <c r="L45" s="792"/>
      <c r="M45" s="792"/>
      <c r="N45" s="792"/>
      <c r="O45" s="792"/>
      <c r="P45" s="792"/>
      <c r="Q45" s="792"/>
      <c r="R45" s="159"/>
      <c r="S45" s="774"/>
      <c r="T45" s="775"/>
      <c r="V45" s="770"/>
    </row>
    <row r="46" spans="1:26" s="769" customFormat="1" ht="12.75" hidden="1" customHeight="1">
      <c r="A46" s="764"/>
      <c r="B46" s="771"/>
      <c r="C46" s="772"/>
      <c r="D46" s="791"/>
      <c r="E46" s="792"/>
      <c r="F46" s="792"/>
      <c r="G46" s="792"/>
      <c r="H46" s="792"/>
      <c r="I46" s="792"/>
      <c r="J46" s="792"/>
      <c r="K46" s="792"/>
      <c r="L46" s="792"/>
      <c r="M46" s="792"/>
      <c r="N46" s="792"/>
      <c r="O46" s="792"/>
      <c r="P46" s="792"/>
      <c r="Q46" s="792"/>
      <c r="R46" s="161"/>
      <c r="S46" s="776"/>
      <c r="T46" s="775"/>
      <c r="V46" s="770"/>
    </row>
    <row r="47" spans="1:26" s="769" customFormat="1" ht="12.75" hidden="1" customHeight="1">
      <c r="A47" s="764"/>
      <c r="B47" s="771"/>
      <c r="C47" s="772"/>
      <c r="D47" s="791"/>
      <c r="E47" s="792"/>
      <c r="F47" s="792"/>
      <c r="G47" s="792"/>
      <c r="H47" s="792"/>
      <c r="I47" s="792"/>
      <c r="J47" s="792"/>
      <c r="K47" s="792"/>
      <c r="L47" s="792"/>
      <c r="M47" s="792"/>
      <c r="N47" s="792"/>
      <c r="O47" s="792"/>
      <c r="P47" s="792"/>
      <c r="Q47" s="792"/>
      <c r="R47" s="161"/>
      <c r="S47" s="776"/>
      <c r="T47" s="775"/>
      <c r="V47" s="770"/>
    </row>
    <row r="48" spans="1:26" s="769" customFormat="1" ht="12.75" hidden="1" customHeight="1">
      <c r="A48" s="793"/>
      <c r="B48" s="771"/>
      <c r="C48" s="772"/>
      <c r="D48" s="791"/>
      <c r="E48" s="792"/>
      <c r="F48" s="792"/>
      <c r="G48" s="792"/>
      <c r="H48" s="792"/>
      <c r="I48" s="792"/>
      <c r="J48" s="792"/>
      <c r="K48" s="792"/>
      <c r="L48" s="792"/>
      <c r="M48" s="792"/>
      <c r="N48" s="792"/>
      <c r="O48" s="792"/>
      <c r="P48" s="792"/>
      <c r="Q48" s="792"/>
      <c r="R48" s="178"/>
      <c r="S48" s="776"/>
      <c r="T48" s="775"/>
      <c r="V48" s="770"/>
    </row>
    <row r="49" spans="1:26" s="769" customFormat="1" ht="90">
      <c r="A49" s="784" t="s">
        <v>217</v>
      </c>
      <c r="B49" s="785">
        <v>1</v>
      </c>
      <c r="C49" s="786" t="s">
        <v>210</v>
      </c>
      <c r="D49" s="787" t="s">
        <v>35</v>
      </c>
      <c r="E49" s="761">
        <v>0.08</v>
      </c>
      <c r="F49" s="761">
        <v>0.08</v>
      </c>
      <c r="G49" s="761">
        <v>0.09</v>
      </c>
      <c r="H49" s="761">
        <v>0.08</v>
      </c>
      <c r="I49" s="761">
        <v>0.08</v>
      </c>
      <c r="J49" s="761">
        <v>0.09</v>
      </c>
      <c r="K49" s="761">
        <v>0.08</v>
      </c>
      <c r="L49" s="761">
        <v>0.08</v>
      </c>
      <c r="M49" s="761">
        <v>0.09</v>
      </c>
      <c r="N49" s="761">
        <v>0.08</v>
      </c>
      <c r="O49" s="761">
        <v>0.08</v>
      </c>
      <c r="P49" s="761">
        <v>0.09</v>
      </c>
      <c r="Q49" s="789">
        <f>SUM(E49:P49)</f>
        <v>0.99999999999999978</v>
      </c>
      <c r="R49" s="166">
        <v>35628200</v>
      </c>
      <c r="S49" s="790"/>
      <c r="T49" s="763">
        <f>R49/$R$13*100</f>
        <v>11.172216995923486</v>
      </c>
      <c r="V49" s="770">
        <f>SUM(E49:P49)</f>
        <v>0.99999999999999978</v>
      </c>
    </row>
    <row r="50" spans="1:26" s="769" customFormat="1" ht="12.75">
      <c r="A50" s="764" t="s">
        <v>66</v>
      </c>
      <c r="B50" s="771"/>
      <c r="C50" s="772"/>
      <c r="D50" s="791"/>
      <c r="E50" s="792">
        <f>E49/$B$49*100</f>
        <v>8</v>
      </c>
      <c r="F50" s="792">
        <f t="shared" ref="F50:P50" si="12">F49/$B$49*100</f>
        <v>8</v>
      </c>
      <c r="G50" s="792">
        <f t="shared" si="12"/>
        <v>9</v>
      </c>
      <c r="H50" s="792">
        <f t="shared" si="12"/>
        <v>8</v>
      </c>
      <c r="I50" s="792">
        <f t="shared" si="12"/>
        <v>8</v>
      </c>
      <c r="J50" s="792">
        <f t="shared" si="12"/>
        <v>9</v>
      </c>
      <c r="K50" s="792">
        <f t="shared" si="12"/>
        <v>8</v>
      </c>
      <c r="L50" s="792">
        <f t="shared" si="12"/>
        <v>8</v>
      </c>
      <c r="M50" s="792">
        <f>M49/$B$49*100</f>
        <v>9</v>
      </c>
      <c r="N50" s="792">
        <f>N49/$B$49*100</f>
        <v>8</v>
      </c>
      <c r="O50" s="792">
        <f>O49/$B$49*100</f>
        <v>8</v>
      </c>
      <c r="P50" s="792">
        <f t="shared" si="12"/>
        <v>9</v>
      </c>
      <c r="Q50" s="792"/>
      <c r="R50" s="159"/>
      <c r="S50" s="774"/>
      <c r="T50" s="775"/>
    </row>
    <row r="51" spans="1:26" s="769" customFormat="1" ht="12.75">
      <c r="A51" s="764" t="s">
        <v>67</v>
      </c>
      <c r="B51" s="771"/>
      <c r="C51" s="772"/>
      <c r="D51" s="791"/>
      <c r="E51" s="792">
        <f>SUM($E$50:E50)</f>
        <v>8</v>
      </c>
      <c r="F51" s="792">
        <f>SUM($E$50:F50)</f>
        <v>16</v>
      </c>
      <c r="G51" s="792">
        <f>SUM($E$50:G50)</f>
        <v>25</v>
      </c>
      <c r="H51" s="792">
        <f>SUM($E$50:H50)</f>
        <v>33</v>
      </c>
      <c r="I51" s="792">
        <f>SUM($E$50:I50)</f>
        <v>41</v>
      </c>
      <c r="J51" s="792">
        <f>SUM($E$50:J50)</f>
        <v>50</v>
      </c>
      <c r="K51" s="792">
        <f>SUM($E$50:K50)</f>
        <v>58</v>
      </c>
      <c r="L51" s="792">
        <f>SUM($E$50:L50)</f>
        <v>66</v>
      </c>
      <c r="M51" s="792">
        <f>SUM($E$50:M50)</f>
        <v>75</v>
      </c>
      <c r="N51" s="792">
        <f>SUM($E$50:N50)</f>
        <v>83</v>
      </c>
      <c r="O51" s="792">
        <f>SUM($E$50:O50)</f>
        <v>91</v>
      </c>
      <c r="P51" s="792">
        <f>SUM($E$50:P50)</f>
        <v>100</v>
      </c>
      <c r="Q51" s="792"/>
      <c r="R51" s="161"/>
      <c r="S51" s="776"/>
      <c r="T51" s="775"/>
    </row>
    <row r="52" spans="1:26" s="769" customFormat="1" ht="12.75">
      <c r="A52" s="764" t="s">
        <v>68</v>
      </c>
      <c r="B52" s="771"/>
      <c r="C52" s="772"/>
      <c r="D52" s="791"/>
      <c r="E52" s="792">
        <f>E50*$T$49/100</f>
        <v>0.89377735967387895</v>
      </c>
      <c r="F52" s="792">
        <f t="shared" ref="F52:P52" si="13">F50*$T$49/100</f>
        <v>0.89377735967387895</v>
      </c>
      <c r="G52" s="792">
        <f t="shared" si="13"/>
        <v>1.0054995296331137</v>
      </c>
      <c r="H52" s="792">
        <f t="shared" si="13"/>
        <v>0.89377735967387895</v>
      </c>
      <c r="I52" s="792">
        <f t="shared" si="13"/>
        <v>0.89377735967387895</v>
      </c>
      <c r="J52" s="792">
        <f t="shared" si="13"/>
        <v>1.0054995296331137</v>
      </c>
      <c r="K52" s="792">
        <f t="shared" si="13"/>
        <v>0.89377735967387895</v>
      </c>
      <c r="L52" s="792">
        <f t="shared" si="13"/>
        <v>0.89377735967387895</v>
      </c>
      <c r="M52" s="792">
        <f t="shared" si="13"/>
        <v>1.0054995296331137</v>
      </c>
      <c r="N52" s="792">
        <f t="shared" si="13"/>
        <v>0.89377735967387895</v>
      </c>
      <c r="O52" s="792">
        <f t="shared" si="13"/>
        <v>0.89377735967387895</v>
      </c>
      <c r="P52" s="792">
        <f t="shared" si="13"/>
        <v>1.0054995296331137</v>
      </c>
      <c r="Q52" s="792"/>
      <c r="R52" s="161"/>
      <c r="S52" s="776"/>
      <c r="T52" s="775"/>
    </row>
    <row r="53" spans="1:26" s="769" customFormat="1" ht="8.25" customHeight="1">
      <c r="A53" s="777"/>
      <c r="B53" s="778"/>
      <c r="C53" s="779"/>
      <c r="D53" s="801"/>
      <c r="E53" s="802"/>
      <c r="F53" s="802"/>
      <c r="G53" s="802"/>
      <c r="H53" s="802"/>
      <c r="I53" s="802"/>
      <c r="J53" s="802"/>
      <c r="K53" s="802"/>
      <c r="L53" s="802"/>
      <c r="M53" s="802"/>
      <c r="N53" s="802"/>
      <c r="O53" s="802"/>
      <c r="P53" s="802"/>
      <c r="Q53" s="802"/>
      <c r="R53" s="178"/>
      <c r="S53" s="782"/>
      <c r="T53" s="783"/>
    </row>
    <row r="54" spans="1:26" s="769" customFormat="1" ht="8.25" customHeight="1">
      <c r="A54" s="798"/>
      <c r="B54" s="771"/>
      <c r="C54" s="772"/>
      <c r="D54" s="791"/>
      <c r="E54" s="792"/>
      <c r="F54" s="792"/>
      <c r="G54" s="792"/>
      <c r="H54" s="792"/>
      <c r="I54" s="792"/>
      <c r="J54" s="792"/>
      <c r="K54" s="792"/>
      <c r="L54" s="792"/>
      <c r="M54" s="792"/>
      <c r="N54" s="792"/>
      <c r="O54" s="792"/>
      <c r="P54" s="792"/>
      <c r="Q54" s="792"/>
      <c r="R54" s="161"/>
      <c r="S54" s="776"/>
      <c r="T54" s="775"/>
    </row>
    <row r="55" spans="1:26" s="769" customFormat="1" ht="56.25">
      <c r="A55" s="784" t="s">
        <v>218</v>
      </c>
      <c r="B55" s="785">
        <v>150</v>
      </c>
      <c r="C55" s="786" t="s">
        <v>199</v>
      </c>
      <c r="D55" s="787" t="s">
        <v>35</v>
      </c>
      <c r="E55" s="788">
        <v>35</v>
      </c>
      <c r="F55" s="788">
        <v>35</v>
      </c>
      <c r="G55" s="788">
        <v>35</v>
      </c>
      <c r="H55" s="788">
        <v>40</v>
      </c>
      <c r="I55" s="788">
        <v>5</v>
      </c>
      <c r="J55" s="788">
        <v>5</v>
      </c>
      <c r="K55" s="788">
        <v>5</v>
      </c>
      <c r="L55" s="788">
        <v>5</v>
      </c>
      <c r="M55" s="788">
        <v>5</v>
      </c>
      <c r="N55" s="788">
        <v>5</v>
      </c>
      <c r="O55" s="788">
        <v>5</v>
      </c>
      <c r="P55" s="788">
        <v>5</v>
      </c>
      <c r="Q55" s="789">
        <f>SUM(E55:P55)</f>
        <v>185</v>
      </c>
      <c r="R55" s="166">
        <v>4466000</v>
      </c>
      <c r="S55" s="790"/>
      <c r="T55" s="763">
        <f>R55/$R$13*100</f>
        <v>1.4004390090937597</v>
      </c>
      <c r="V55" s="770">
        <f>SUM(E55:P55)</f>
        <v>185</v>
      </c>
    </row>
    <row r="56" spans="1:26" s="769" customFormat="1" ht="12.75">
      <c r="A56" s="764" t="s">
        <v>66</v>
      </c>
      <c r="B56" s="771"/>
      <c r="C56" s="772"/>
      <c r="D56" s="791"/>
      <c r="E56" s="792">
        <f t="shared" ref="E56:P56" si="14">E55/$B$55*100</f>
        <v>23.333333333333332</v>
      </c>
      <c r="F56" s="792">
        <f t="shared" si="14"/>
        <v>23.333333333333332</v>
      </c>
      <c r="G56" s="792">
        <f t="shared" si="14"/>
        <v>23.333333333333332</v>
      </c>
      <c r="H56" s="792">
        <f t="shared" si="14"/>
        <v>26.666666666666668</v>
      </c>
      <c r="I56" s="792">
        <f t="shared" si="14"/>
        <v>3.3333333333333335</v>
      </c>
      <c r="J56" s="792">
        <f t="shared" si="14"/>
        <v>3.3333333333333335</v>
      </c>
      <c r="K56" s="792">
        <f t="shared" si="14"/>
        <v>3.3333333333333335</v>
      </c>
      <c r="L56" s="792">
        <f t="shared" si="14"/>
        <v>3.3333333333333335</v>
      </c>
      <c r="M56" s="792">
        <f t="shared" si="14"/>
        <v>3.3333333333333335</v>
      </c>
      <c r="N56" s="792">
        <f t="shared" si="14"/>
        <v>3.3333333333333335</v>
      </c>
      <c r="O56" s="792">
        <f t="shared" si="14"/>
        <v>3.3333333333333335</v>
      </c>
      <c r="P56" s="792">
        <f t="shared" si="14"/>
        <v>3.3333333333333335</v>
      </c>
      <c r="Q56" s="792"/>
      <c r="R56" s="159"/>
      <c r="S56" s="774"/>
      <c r="T56" s="775"/>
    </row>
    <row r="57" spans="1:26" s="769" customFormat="1" ht="12.75">
      <c r="A57" s="764" t="s">
        <v>67</v>
      </c>
      <c r="B57" s="771"/>
      <c r="C57" s="772"/>
      <c r="D57" s="791"/>
      <c r="E57" s="792">
        <f>SUM($E$56:E56)</f>
        <v>23.333333333333332</v>
      </c>
      <c r="F57" s="792">
        <f>SUM($F$56:F56)</f>
        <v>23.333333333333332</v>
      </c>
      <c r="G57" s="792">
        <f>SUM($F$56:G56)</f>
        <v>46.666666666666664</v>
      </c>
      <c r="H57" s="792">
        <f>SUM($F$56:H56)</f>
        <v>73.333333333333329</v>
      </c>
      <c r="I57" s="792">
        <f>SUM($F$56:I56)</f>
        <v>76.666666666666657</v>
      </c>
      <c r="J57" s="792">
        <f>SUM($F$56:J56)</f>
        <v>79.999999999999986</v>
      </c>
      <c r="K57" s="792">
        <f>SUM($F$56:K56)</f>
        <v>83.333333333333314</v>
      </c>
      <c r="L57" s="792">
        <f>SUM($F$56:L56)</f>
        <v>86.666666666666643</v>
      </c>
      <c r="M57" s="792">
        <f>SUM($F$56:M56)</f>
        <v>89.999999999999972</v>
      </c>
      <c r="N57" s="792">
        <f>SUM($F$56:N56)</f>
        <v>93.3333333333333</v>
      </c>
      <c r="O57" s="792">
        <f>SUM($F$56:O56)</f>
        <v>96.666666666666629</v>
      </c>
      <c r="P57" s="792">
        <f>SUM($F$56:P56)</f>
        <v>99.999999999999957</v>
      </c>
      <c r="Q57" s="792"/>
      <c r="R57" s="161"/>
      <c r="S57" s="776"/>
      <c r="T57" s="775"/>
    </row>
    <row r="58" spans="1:26" s="769" customFormat="1" ht="12.75">
      <c r="A58" s="764" t="s">
        <v>68</v>
      </c>
      <c r="B58" s="771"/>
      <c r="C58" s="772"/>
      <c r="D58" s="791"/>
      <c r="E58" s="792">
        <f>E56*$T$55/100</f>
        <v>0.32676910212187726</v>
      </c>
      <c r="F58" s="792">
        <f t="shared" ref="F58:P58" si="15">F56*$T$55/100</f>
        <v>0.32676910212187726</v>
      </c>
      <c r="G58" s="792">
        <f t="shared" si="15"/>
        <v>0.32676910212187726</v>
      </c>
      <c r="H58" s="792">
        <f t="shared" si="15"/>
        <v>0.3734504024250026</v>
      </c>
      <c r="I58" s="792">
        <f t="shared" si="15"/>
        <v>4.6681300303125325E-2</v>
      </c>
      <c r="J58" s="792">
        <f t="shared" si="15"/>
        <v>4.6681300303125325E-2</v>
      </c>
      <c r="K58" s="792">
        <f t="shared" si="15"/>
        <v>4.6681300303125325E-2</v>
      </c>
      <c r="L58" s="792">
        <f t="shared" si="15"/>
        <v>4.6681300303125325E-2</v>
      </c>
      <c r="M58" s="792">
        <f t="shared" si="15"/>
        <v>4.6681300303125325E-2</v>
      </c>
      <c r="N58" s="792">
        <f t="shared" si="15"/>
        <v>4.6681300303125325E-2</v>
      </c>
      <c r="O58" s="792">
        <f t="shared" si="15"/>
        <v>4.6681300303125325E-2</v>
      </c>
      <c r="P58" s="792">
        <f t="shared" si="15"/>
        <v>4.6681300303125325E-2</v>
      </c>
      <c r="Q58" s="792"/>
      <c r="R58" s="161"/>
      <c r="S58" s="776"/>
      <c r="T58" s="775"/>
    </row>
    <row r="59" spans="1:26" s="769" customFormat="1" ht="8.25" customHeight="1">
      <c r="A59" s="793"/>
      <c r="B59" s="771"/>
      <c r="C59" s="772"/>
      <c r="D59" s="791"/>
      <c r="E59" s="792"/>
      <c r="F59" s="792"/>
      <c r="G59" s="792"/>
      <c r="H59" s="792"/>
      <c r="I59" s="792"/>
      <c r="J59" s="792"/>
      <c r="K59" s="792"/>
      <c r="L59" s="792"/>
      <c r="M59" s="792"/>
      <c r="N59" s="792"/>
      <c r="O59" s="792"/>
      <c r="P59" s="792"/>
      <c r="Q59" s="792"/>
      <c r="R59" s="178"/>
      <c r="S59" s="776"/>
      <c r="T59" s="775"/>
    </row>
    <row r="60" spans="1:26" s="769" customFormat="1" ht="33.75">
      <c r="A60" s="784" t="s">
        <v>219</v>
      </c>
      <c r="B60" s="785">
        <v>900</v>
      </c>
      <c r="C60" s="786" t="s">
        <v>220</v>
      </c>
      <c r="D60" s="787" t="s">
        <v>80</v>
      </c>
      <c r="E60" s="788">
        <v>0</v>
      </c>
      <c r="F60" s="788">
        <v>0</v>
      </c>
      <c r="G60" s="788">
        <v>0</v>
      </c>
      <c r="H60" s="788">
        <v>100</v>
      </c>
      <c r="I60" s="788">
        <v>0</v>
      </c>
      <c r="J60" s="788">
        <v>350</v>
      </c>
      <c r="K60" s="788">
        <v>0</v>
      </c>
      <c r="L60" s="788">
        <v>0</v>
      </c>
      <c r="M60" s="788">
        <v>0</v>
      </c>
      <c r="N60" s="788">
        <v>100</v>
      </c>
      <c r="O60" s="788">
        <v>350</v>
      </c>
      <c r="P60" s="788">
        <v>0</v>
      </c>
      <c r="Q60" s="789"/>
      <c r="R60" s="166">
        <v>86100000</v>
      </c>
      <c r="S60" s="790"/>
      <c r="T60" s="763">
        <f>R60/$R$13*100</f>
        <v>26.999059266227661</v>
      </c>
      <c r="V60" s="770">
        <f>SUM(E60:P60)</f>
        <v>900</v>
      </c>
      <c r="Z60" s="770"/>
    </row>
    <row r="61" spans="1:26" s="769" customFormat="1" ht="12.75">
      <c r="A61" s="764" t="s">
        <v>66</v>
      </c>
      <c r="B61" s="771"/>
      <c r="C61" s="772"/>
      <c r="D61" s="791"/>
      <c r="E61" s="792">
        <f>E60/$B$60*100</f>
        <v>0</v>
      </c>
      <c r="F61" s="792">
        <f t="shared" ref="F61:P61" si="16">F60/$B$60*100</f>
        <v>0</v>
      </c>
      <c r="G61" s="792">
        <f t="shared" si="16"/>
        <v>0</v>
      </c>
      <c r="H61" s="792">
        <f t="shared" si="16"/>
        <v>11.111111111111111</v>
      </c>
      <c r="I61" s="792">
        <f t="shared" si="16"/>
        <v>0</v>
      </c>
      <c r="J61" s="792">
        <f t="shared" si="16"/>
        <v>38.888888888888893</v>
      </c>
      <c r="K61" s="792">
        <f t="shared" si="16"/>
        <v>0</v>
      </c>
      <c r="L61" s="792">
        <f t="shared" si="16"/>
        <v>0</v>
      </c>
      <c r="M61" s="792">
        <f t="shared" si="16"/>
        <v>0</v>
      </c>
      <c r="N61" s="792">
        <f t="shared" si="16"/>
        <v>11.111111111111111</v>
      </c>
      <c r="O61" s="792">
        <f t="shared" si="16"/>
        <v>38.888888888888893</v>
      </c>
      <c r="P61" s="792">
        <f t="shared" si="16"/>
        <v>0</v>
      </c>
      <c r="Q61" s="792"/>
      <c r="R61" s="159"/>
      <c r="S61" s="774"/>
      <c r="T61" s="775"/>
    </row>
    <row r="62" spans="1:26" s="769" customFormat="1" ht="12.75">
      <c r="A62" s="764" t="s">
        <v>67</v>
      </c>
      <c r="B62" s="771"/>
      <c r="C62" s="772"/>
      <c r="D62" s="791"/>
      <c r="E62" s="792">
        <f>SUM($E$61:E61)</f>
        <v>0</v>
      </c>
      <c r="F62" s="792">
        <f>SUM($E$61:F61)</f>
        <v>0</v>
      </c>
      <c r="G62" s="792">
        <f>SUM($E$61:G61)</f>
        <v>0</v>
      </c>
      <c r="H62" s="792">
        <f>SUM($E$61:H61)</f>
        <v>11.111111111111111</v>
      </c>
      <c r="I62" s="792">
        <f>SUM($E$61:I61)</f>
        <v>11.111111111111111</v>
      </c>
      <c r="J62" s="792">
        <f>SUM($E$61:J61)</f>
        <v>50</v>
      </c>
      <c r="K62" s="792">
        <f>SUM($E$61:K61)</f>
        <v>50</v>
      </c>
      <c r="L62" s="792">
        <f>SUM($E$61:L61)</f>
        <v>50</v>
      </c>
      <c r="M62" s="792">
        <f>SUM($E$61:M61)</f>
        <v>50</v>
      </c>
      <c r="N62" s="792">
        <f>SUM($E$61:N61)</f>
        <v>61.111111111111114</v>
      </c>
      <c r="O62" s="792">
        <f>SUM($E$61:O61)</f>
        <v>100</v>
      </c>
      <c r="P62" s="792">
        <f>SUM($E$61:P61)</f>
        <v>100</v>
      </c>
      <c r="Q62" s="792"/>
      <c r="R62" s="161"/>
      <c r="S62" s="776"/>
      <c r="T62" s="775"/>
    </row>
    <row r="63" spans="1:26" s="769" customFormat="1" ht="12.75">
      <c r="A63" s="764" t="s">
        <v>68</v>
      </c>
      <c r="B63" s="771"/>
      <c r="C63" s="772"/>
      <c r="D63" s="791"/>
      <c r="E63" s="792">
        <f>E61*$T$60/100</f>
        <v>0</v>
      </c>
      <c r="F63" s="792">
        <f t="shared" ref="F63:P63" si="17">F61*$T$60/100</f>
        <v>0</v>
      </c>
      <c r="G63" s="792">
        <f t="shared" si="17"/>
        <v>0</v>
      </c>
      <c r="H63" s="792">
        <f t="shared" si="17"/>
        <v>2.9998954740252959</v>
      </c>
      <c r="I63" s="792">
        <f t="shared" si="17"/>
        <v>0</v>
      </c>
      <c r="J63" s="792">
        <f t="shared" si="17"/>
        <v>10.499634159088536</v>
      </c>
      <c r="K63" s="792">
        <f t="shared" si="17"/>
        <v>0</v>
      </c>
      <c r="L63" s="792">
        <f t="shared" si="17"/>
        <v>0</v>
      </c>
      <c r="M63" s="792">
        <f t="shared" si="17"/>
        <v>0</v>
      </c>
      <c r="N63" s="792">
        <f t="shared" si="17"/>
        <v>2.9998954740252959</v>
      </c>
      <c r="O63" s="792">
        <f t="shared" si="17"/>
        <v>10.499634159088536</v>
      </c>
      <c r="P63" s="792">
        <f t="shared" si="17"/>
        <v>0</v>
      </c>
      <c r="Q63" s="792"/>
      <c r="R63" s="161"/>
      <c r="S63" s="776"/>
      <c r="T63" s="775"/>
    </row>
    <row r="64" spans="1:26" s="769" customFormat="1" ht="8.25" customHeight="1">
      <c r="A64" s="777"/>
      <c r="B64" s="778"/>
      <c r="C64" s="779"/>
      <c r="D64" s="801"/>
      <c r="E64" s="802"/>
      <c r="F64" s="802"/>
      <c r="G64" s="802"/>
      <c r="H64" s="802"/>
      <c r="I64" s="802"/>
      <c r="J64" s="802"/>
      <c r="K64" s="802"/>
      <c r="L64" s="802"/>
      <c r="M64" s="802"/>
      <c r="N64" s="802"/>
      <c r="O64" s="802"/>
      <c r="P64" s="802"/>
      <c r="Q64" s="802"/>
      <c r="R64" s="178"/>
      <c r="S64" s="782"/>
      <c r="T64" s="783"/>
    </row>
    <row r="65" spans="1:26" s="769" customFormat="1" ht="45">
      <c r="A65" s="784" t="s">
        <v>221</v>
      </c>
      <c r="B65" s="795">
        <v>50</v>
      </c>
      <c r="C65" s="803" t="s">
        <v>222</v>
      </c>
      <c r="D65" s="804" t="s">
        <v>35</v>
      </c>
      <c r="E65" s="805">
        <v>0</v>
      </c>
      <c r="F65" s="805">
        <v>5</v>
      </c>
      <c r="G65" s="805">
        <v>5</v>
      </c>
      <c r="H65" s="805">
        <v>5</v>
      </c>
      <c r="I65" s="805">
        <v>5</v>
      </c>
      <c r="J65" s="805">
        <v>5</v>
      </c>
      <c r="K65" s="805">
        <v>5</v>
      </c>
      <c r="L65" s="805">
        <v>5</v>
      </c>
      <c r="M65" s="805">
        <v>5</v>
      </c>
      <c r="N65" s="805">
        <v>5</v>
      </c>
      <c r="O65" s="805">
        <v>5</v>
      </c>
      <c r="P65" s="805">
        <v>0</v>
      </c>
      <c r="Q65" s="789">
        <f>SUM(E65:P65)</f>
        <v>50</v>
      </c>
      <c r="R65" s="185">
        <v>2900000</v>
      </c>
      <c r="S65" s="768"/>
      <c r="T65" s="763">
        <f>R65/$R$13*100</f>
        <v>0.90937597993101282</v>
      </c>
      <c r="V65" s="770">
        <f>SUM(E65:P65)</f>
        <v>50</v>
      </c>
    </row>
    <row r="66" spans="1:26" s="769" customFormat="1" ht="12.75">
      <c r="A66" s="764" t="s">
        <v>66</v>
      </c>
      <c r="B66" s="771"/>
      <c r="C66" s="772"/>
      <c r="D66" s="791"/>
      <c r="E66" s="792">
        <f t="shared" ref="E66:P66" si="18">E65/$B$65*100</f>
        <v>0</v>
      </c>
      <c r="F66" s="792">
        <f t="shared" si="18"/>
        <v>10</v>
      </c>
      <c r="G66" s="792">
        <f t="shared" si="18"/>
        <v>10</v>
      </c>
      <c r="H66" s="792">
        <f t="shared" si="18"/>
        <v>10</v>
      </c>
      <c r="I66" s="792">
        <f t="shared" si="18"/>
        <v>10</v>
      </c>
      <c r="J66" s="792">
        <f t="shared" si="18"/>
        <v>10</v>
      </c>
      <c r="K66" s="792">
        <f t="shared" si="18"/>
        <v>10</v>
      </c>
      <c r="L66" s="792">
        <f t="shared" si="18"/>
        <v>10</v>
      </c>
      <c r="M66" s="792">
        <f t="shared" si="18"/>
        <v>10</v>
      </c>
      <c r="N66" s="792">
        <f t="shared" si="18"/>
        <v>10</v>
      </c>
      <c r="O66" s="792">
        <f t="shared" si="18"/>
        <v>10</v>
      </c>
      <c r="P66" s="792">
        <f t="shared" si="18"/>
        <v>0</v>
      </c>
      <c r="Q66" s="792"/>
      <c r="R66" s="159"/>
      <c r="S66" s="774"/>
      <c r="T66" s="775"/>
    </row>
    <row r="67" spans="1:26" s="769" customFormat="1" ht="12.75">
      <c r="A67" s="764" t="s">
        <v>67</v>
      </c>
      <c r="B67" s="771"/>
      <c r="C67" s="772"/>
      <c r="D67" s="791"/>
      <c r="E67" s="792">
        <f>SUM($E$66:E66)</f>
        <v>0</v>
      </c>
      <c r="F67" s="792">
        <f>SUM($E$66:F66)</f>
        <v>10</v>
      </c>
      <c r="G67" s="792">
        <f>SUM($E$66:G66)</f>
        <v>20</v>
      </c>
      <c r="H67" s="792">
        <f>SUM($E$66:H66)</f>
        <v>30</v>
      </c>
      <c r="I67" s="792">
        <f>SUM($E$66:I66)</f>
        <v>40</v>
      </c>
      <c r="J67" s="792">
        <f>SUM($E$66:J66)</f>
        <v>50</v>
      </c>
      <c r="K67" s="792">
        <f>SUM($E$66:K66)</f>
        <v>60</v>
      </c>
      <c r="L67" s="792">
        <f>SUM($E$66:L66)</f>
        <v>70</v>
      </c>
      <c r="M67" s="792">
        <f>SUM($E$66:M66)</f>
        <v>80</v>
      </c>
      <c r="N67" s="792">
        <f>SUM($E$66:N66)</f>
        <v>90</v>
      </c>
      <c r="O67" s="792">
        <f>SUM($E$66:O66)</f>
        <v>100</v>
      </c>
      <c r="P67" s="792">
        <f>SUM($E$66:P66)</f>
        <v>100</v>
      </c>
      <c r="Q67" s="792"/>
      <c r="R67" s="161"/>
      <c r="S67" s="776"/>
      <c r="T67" s="775"/>
    </row>
    <row r="68" spans="1:26" s="769" customFormat="1" ht="12.75">
      <c r="A68" s="764" t="s">
        <v>68</v>
      </c>
      <c r="B68" s="771"/>
      <c r="C68" s="772"/>
      <c r="D68" s="791"/>
      <c r="E68" s="792">
        <f>E66*$T$65/100</f>
        <v>0</v>
      </c>
      <c r="F68" s="792">
        <f t="shared" ref="F68:P68" si="19">F66*$T$65/100</f>
        <v>9.0937597993101277E-2</v>
      </c>
      <c r="G68" s="792">
        <f t="shared" si="19"/>
        <v>9.0937597993101277E-2</v>
      </c>
      <c r="H68" s="792">
        <f t="shared" si="19"/>
        <v>9.0937597993101277E-2</v>
      </c>
      <c r="I68" s="792">
        <f t="shared" si="19"/>
        <v>9.0937597993101277E-2</v>
      </c>
      <c r="J68" s="792">
        <f t="shared" si="19"/>
        <v>9.0937597993101277E-2</v>
      </c>
      <c r="K68" s="792">
        <f t="shared" si="19"/>
        <v>9.0937597993101277E-2</v>
      </c>
      <c r="L68" s="792">
        <f t="shared" si="19"/>
        <v>9.0937597993101277E-2</v>
      </c>
      <c r="M68" s="792">
        <f t="shared" si="19"/>
        <v>9.0937597993101277E-2</v>
      </c>
      <c r="N68" s="792">
        <f t="shared" si="19"/>
        <v>9.0937597993101277E-2</v>
      </c>
      <c r="O68" s="792">
        <f t="shared" si="19"/>
        <v>9.0937597993101277E-2</v>
      </c>
      <c r="P68" s="792">
        <f t="shared" si="19"/>
        <v>0</v>
      </c>
      <c r="Q68" s="792"/>
      <c r="R68" s="161"/>
      <c r="S68" s="776"/>
      <c r="T68" s="775"/>
    </row>
    <row r="69" spans="1:26" s="769" customFormat="1" ht="8.25" customHeight="1">
      <c r="A69" s="777"/>
      <c r="B69" s="778"/>
      <c r="C69" s="779"/>
      <c r="D69" s="801"/>
      <c r="E69" s="802"/>
      <c r="F69" s="802"/>
      <c r="G69" s="802"/>
      <c r="H69" s="802"/>
      <c r="I69" s="802"/>
      <c r="J69" s="802"/>
      <c r="K69" s="802"/>
      <c r="L69" s="802"/>
      <c r="M69" s="802"/>
      <c r="N69" s="802"/>
      <c r="O69" s="802"/>
      <c r="P69" s="802"/>
      <c r="Q69" s="802"/>
      <c r="R69" s="178"/>
      <c r="S69" s="782"/>
      <c r="T69" s="783"/>
    </row>
    <row r="70" spans="1:26" s="769" customFormat="1" ht="67.5">
      <c r="A70" s="784" t="s">
        <v>223</v>
      </c>
      <c r="B70" s="785">
        <v>120</v>
      </c>
      <c r="C70" s="786" t="s">
        <v>199</v>
      </c>
      <c r="D70" s="787" t="s">
        <v>91</v>
      </c>
      <c r="E70" s="785">
        <v>0</v>
      </c>
      <c r="F70" s="785">
        <v>0</v>
      </c>
      <c r="G70" s="785">
        <v>0</v>
      </c>
      <c r="H70" s="785">
        <v>0</v>
      </c>
      <c r="I70" s="785">
        <v>0</v>
      </c>
      <c r="J70" s="785">
        <v>0</v>
      </c>
      <c r="K70" s="785">
        <v>0</v>
      </c>
      <c r="L70" s="785">
        <v>120</v>
      </c>
      <c r="M70" s="785">
        <v>0</v>
      </c>
      <c r="N70" s="785">
        <v>0</v>
      </c>
      <c r="O70" s="785">
        <v>0</v>
      </c>
      <c r="P70" s="785">
        <v>0</v>
      </c>
      <c r="Q70" s="789">
        <f>SUM(E70:P70)</f>
        <v>120</v>
      </c>
      <c r="R70" s="185">
        <v>21330400</v>
      </c>
      <c r="S70" s="790"/>
      <c r="T70" s="763">
        <f>R70/$R$13*100</f>
        <v>6.6887425525243014</v>
      </c>
      <c r="V70" s="770">
        <f>SUM(E70:P70)</f>
        <v>120</v>
      </c>
      <c r="Y70" s="769" t="s">
        <v>60</v>
      </c>
      <c r="Z70" s="770"/>
    </row>
    <row r="71" spans="1:26" s="769" customFormat="1" ht="12.75">
      <c r="A71" s="764" t="s">
        <v>66</v>
      </c>
      <c r="B71" s="771"/>
      <c r="C71" s="772"/>
      <c r="D71" s="791"/>
      <c r="E71" s="792">
        <f t="shared" ref="E71:P71" si="20">E70/$B$70*100</f>
        <v>0</v>
      </c>
      <c r="F71" s="792">
        <f t="shared" si="20"/>
        <v>0</v>
      </c>
      <c r="G71" s="792">
        <f t="shared" si="20"/>
        <v>0</v>
      </c>
      <c r="H71" s="792">
        <f t="shared" si="20"/>
        <v>0</v>
      </c>
      <c r="I71" s="792">
        <f t="shared" si="20"/>
        <v>0</v>
      </c>
      <c r="J71" s="792">
        <f t="shared" si="20"/>
        <v>0</v>
      </c>
      <c r="K71" s="792">
        <f t="shared" si="20"/>
        <v>0</v>
      </c>
      <c r="L71" s="792">
        <f t="shared" si="20"/>
        <v>100</v>
      </c>
      <c r="M71" s="792">
        <f t="shared" si="20"/>
        <v>0</v>
      </c>
      <c r="N71" s="792">
        <f t="shared" si="20"/>
        <v>0</v>
      </c>
      <c r="O71" s="792">
        <f t="shared" si="20"/>
        <v>0</v>
      </c>
      <c r="P71" s="792">
        <f t="shared" si="20"/>
        <v>0</v>
      </c>
      <c r="Q71" s="792"/>
      <c r="R71" s="159"/>
      <c r="S71" s="774"/>
      <c r="T71" s="775"/>
    </row>
    <row r="72" spans="1:26" s="769" customFormat="1" ht="12.75">
      <c r="A72" s="764" t="s">
        <v>67</v>
      </c>
      <c r="B72" s="771"/>
      <c r="C72" s="772"/>
      <c r="D72" s="791"/>
      <c r="E72" s="792">
        <f>SUM($E$71:E71)</f>
        <v>0</v>
      </c>
      <c r="F72" s="792">
        <f>SUM($E$71:F71)</f>
        <v>0</v>
      </c>
      <c r="G72" s="792">
        <f>SUM($E$71:G71)</f>
        <v>0</v>
      </c>
      <c r="H72" s="792">
        <f>SUM($E$71:H71)</f>
        <v>0</v>
      </c>
      <c r="I72" s="792">
        <f>SUM($E$71:I71)</f>
        <v>0</v>
      </c>
      <c r="J72" s="792">
        <f>SUM($E$71:J71)</f>
        <v>0</v>
      </c>
      <c r="K72" s="792">
        <f>SUM($E$71:K71)</f>
        <v>0</v>
      </c>
      <c r="L72" s="792">
        <f>SUM($E$71:L71)</f>
        <v>100</v>
      </c>
      <c r="M72" s="792">
        <f>SUM($E$71:M71)</f>
        <v>100</v>
      </c>
      <c r="N72" s="792">
        <f>SUM($E$71:N71)</f>
        <v>100</v>
      </c>
      <c r="O72" s="792">
        <f>SUM($E$71:O71)</f>
        <v>100</v>
      </c>
      <c r="P72" s="792">
        <f>SUM($E$71:P71)</f>
        <v>100</v>
      </c>
      <c r="Q72" s="792"/>
      <c r="R72" s="161"/>
      <c r="S72" s="776"/>
      <c r="T72" s="775"/>
    </row>
    <row r="73" spans="1:26" s="769" customFormat="1" ht="12.75">
      <c r="A73" s="764" t="s">
        <v>68</v>
      </c>
      <c r="B73" s="771"/>
      <c r="C73" s="772"/>
      <c r="D73" s="791"/>
      <c r="E73" s="792">
        <f>E71*$T$70/100</f>
        <v>0</v>
      </c>
      <c r="F73" s="792">
        <f t="shared" ref="F73:P73" si="21">F71*$T$70/100</f>
        <v>0</v>
      </c>
      <c r="G73" s="792">
        <f t="shared" si="21"/>
        <v>0</v>
      </c>
      <c r="H73" s="792">
        <f t="shared" si="21"/>
        <v>0</v>
      </c>
      <c r="I73" s="792">
        <f t="shared" si="21"/>
        <v>0</v>
      </c>
      <c r="J73" s="792">
        <f t="shared" si="21"/>
        <v>0</v>
      </c>
      <c r="K73" s="792">
        <f t="shared" si="21"/>
        <v>0</v>
      </c>
      <c r="L73" s="792">
        <f t="shared" si="21"/>
        <v>6.6887425525243005</v>
      </c>
      <c r="M73" s="792">
        <f t="shared" si="21"/>
        <v>0</v>
      </c>
      <c r="N73" s="792">
        <f t="shared" si="21"/>
        <v>0</v>
      </c>
      <c r="O73" s="792">
        <f t="shared" si="21"/>
        <v>0</v>
      </c>
      <c r="P73" s="792">
        <f t="shared" si="21"/>
        <v>0</v>
      </c>
      <c r="Q73" s="792"/>
      <c r="R73" s="161"/>
      <c r="S73" s="776"/>
      <c r="T73" s="775"/>
    </row>
    <row r="74" spans="1:26" s="769" customFormat="1" ht="8.25" customHeight="1">
      <c r="A74" s="793"/>
      <c r="B74" s="771"/>
      <c r="C74" s="772"/>
      <c r="D74" s="791"/>
      <c r="E74" s="792"/>
      <c r="F74" s="792"/>
      <c r="G74" s="792"/>
      <c r="H74" s="792"/>
      <c r="I74" s="792"/>
      <c r="J74" s="792"/>
      <c r="K74" s="792"/>
      <c r="L74" s="792"/>
      <c r="M74" s="792"/>
      <c r="N74" s="792"/>
      <c r="O74" s="792"/>
      <c r="P74" s="792"/>
      <c r="Q74" s="792"/>
      <c r="R74" s="178"/>
      <c r="S74" s="776"/>
      <c r="T74" s="775"/>
    </row>
    <row r="75" spans="1:26" s="769" customFormat="1" ht="67.5">
      <c r="A75" s="784" t="s">
        <v>224</v>
      </c>
      <c r="B75" s="785">
        <v>50</v>
      </c>
      <c r="C75" s="786" t="s">
        <v>199</v>
      </c>
      <c r="D75" s="787" t="s">
        <v>91</v>
      </c>
      <c r="E75" s="788">
        <v>0</v>
      </c>
      <c r="F75" s="788">
        <v>0</v>
      </c>
      <c r="G75" s="788">
        <v>50</v>
      </c>
      <c r="H75" s="788">
        <v>0</v>
      </c>
      <c r="I75" s="788">
        <v>0</v>
      </c>
      <c r="J75" s="788">
        <v>0</v>
      </c>
      <c r="K75" s="788">
        <v>0</v>
      </c>
      <c r="L75" s="788">
        <v>0</v>
      </c>
      <c r="M75" s="788">
        <v>0</v>
      </c>
      <c r="N75" s="788">
        <v>0</v>
      </c>
      <c r="O75" s="788">
        <v>0</v>
      </c>
      <c r="P75" s="788">
        <v>0</v>
      </c>
      <c r="Q75" s="789">
        <f>SUM(E75:P75)</f>
        <v>50</v>
      </c>
      <c r="R75" s="185">
        <v>8935400</v>
      </c>
      <c r="S75" s="790"/>
      <c r="T75" s="763">
        <f>R75/$R$13*100</f>
        <v>2.8019441831295078</v>
      </c>
      <c r="Y75" s="769" t="s">
        <v>60</v>
      </c>
    </row>
    <row r="76" spans="1:26" s="769" customFormat="1" ht="12.75">
      <c r="A76" s="764" t="s">
        <v>66</v>
      </c>
      <c r="B76" s="771"/>
      <c r="C76" s="772"/>
      <c r="D76" s="791"/>
      <c r="E76" s="792">
        <f>E75/$B$75*100</f>
        <v>0</v>
      </c>
      <c r="F76" s="792">
        <f t="shared" ref="F76:P76" si="22">F75/$B$75*100</f>
        <v>0</v>
      </c>
      <c r="G76" s="792">
        <f t="shared" si="22"/>
        <v>100</v>
      </c>
      <c r="H76" s="792">
        <f t="shared" si="22"/>
        <v>0</v>
      </c>
      <c r="I76" s="792">
        <f t="shared" si="22"/>
        <v>0</v>
      </c>
      <c r="J76" s="792">
        <f t="shared" si="22"/>
        <v>0</v>
      </c>
      <c r="K76" s="792">
        <f t="shared" si="22"/>
        <v>0</v>
      </c>
      <c r="L76" s="792">
        <f t="shared" si="22"/>
        <v>0</v>
      </c>
      <c r="M76" s="792">
        <f t="shared" si="22"/>
        <v>0</v>
      </c>
      <c r="N76" s="792">
        <f t="shared" si="22"/>
        <v>0</v>
      </c>
      <c r="O76" s="792">
        <f t="shared" si="22"/>
        <v>0</v>
      </c>
      <c r="P76" s="792">
        <f t="shared" si="22"/>
        <v>0</v>
      </c>
      <c r="Q76" s="792"/>
      <c r="R76" s="159"/>
      <c r="S76" s="774"/>
      <c r="T76" s="775"/>
    </row>
    <row r="77" spans="1:26" s="769" customFormat="1" ht="12.75">
      <c r="A77" s="764" t="s">
        <v>67</v>
      </c>
      <c r="B77" s="771"/>
      <c r="C77" s="772"/>
      <c r="D77" s="791"/>
      <c r="E77" s="792">
        <f>SUM($E$76:E76)</f>
        <v>0</v>
      </c>
      <c r="F77" s="792">
        <f>SUM($E$76:F76)</f>
        <v>0</v>
      </c>
      <c r="G77" s="792">
        <f>SUM($E$76:G76)</f>
        <v>100</v>
      </c>
      <c r="H77" s="792">
        <f>SUM($E$76:H76)</f>
        <v>100</v>
      </c>
      <c r="I77" s="792">
        <f>SUM($E$76:I76)</f>
        <v>100</v>
      </c>
      <c r="J77" s="792">
        <f>SUM($E$76:J76)</f>
        <v>100</v>
      </c>
      <c r="K77" s="792">
        <f>SUM($E$76:K76)</f>
        <v>100</v>
      </c>
      <c r="L77" s="792">
        <f>SUM($E$76:L76)</f>
        <v>100</v>
      </c>
      <c r="M77" s="792">
        <f>SUM($E$76:M76)</f>
        <v>100</v>
      </c>
      <c r="N77" s="792">
        <f>SUM($E$76:N76)</f>
        <v>100</v>
      </c>
      <c r="O77" s="792">
        <f>SUM($E$76:O76)</f>
        <v>100</v>
      </c>
      <c r="P77" s="792">
        <f>SUM($E$76:P76)</f>
        <v>100</v>
      </c>
      <c r="Q77" s="792"/>
      <c r="R77" s="161"/>
      <c r="S77" s="776"/>
      <c r="T77" s="775"/>
    </row>
    <row r="78" spans="1:26" s="769" customFormat="1" ht="12.75">
      <c r="A78" s="764" t="s">
        <v>68</v>
      </c>
      <c r="B78" s="771"/>
      <c r="C78" s="772"/>
      <c r="D78" s="791"/>
      <c r="E78" s="792">
        <f>E76*$T$75/100</f>
        <v>0</v>
      </c>
      <c r="F78" s="792">
        <f t="shared" ref="F78:P78" si="23">F76*$T$75/100</f>
        <v>0</v>
      </c>
      <c r="G78" s="792">
        <f t="shared" si="23"/>
        <v>2.8019441831295082</v>
      </c>
      <c r="H78" s="792">
        <f t="shared" si="23"/>
        <v>0</v>
      </c>
      <c r="I78" s="792">
        <f t="shared" si="23"/>
        <v>0</v>
      </c>
      <c r="J78" s="792">
        <f t="shared" si="23"/>
        <v>0</v>
      </c>
      <c r="K78" s="792">
        <f t="shared" si="23"/>
        <v>0</v>
      </c>
      <c r="L78" s="792">
        <f t="shared" si="23"/>
        <v>0</v>
      </c>
      <c r="M78" s="792">
        <f t="shared" si="23"/>
        <v>0</v>
      </c>
      <c r="N78" s="792">
        <f t="shared" si="23"/>
        <v>0</v>
      </c>
      <c r="O78" s="792">
        <f t="shared" si="23"/>
        <v>0</v>
      </c>
      <c r="P78" s="792">
        <f t="shared" si="23"/>
        <v>0</v>
      </c>
      <c r="Q78" s="792"/>
      <c r="R78" s="161"/>
      <c r="S78" s="776"/>
      <c r="T78" s="775"/>
    </row>
    <row r="79" spans="1:26" s="769" customFormat="1" ht="8.25" customHeight="1">
      <c r="A79" s="793"/>
      <c r="B79" s="806"/>
      <c r="C79" s="807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N79" s="791"/>
      <c r="O79" s="791"/>
      <c r="P79" s="791"/>
      <c r="Q79" s="791"/>
      <c r="R79" s="178"/>
      <c r="S79" s="776"/>
      <c r="T79" s="775"/>
    </row>
    <row r="80" spans="1:26" s="581" customFormat="1" ht="8.25" customHeight="1">
      <c r="A80" s="808"/>
      <c r="B80" s="809"/>
      <c r="C80" s="810"/>
      <c r="D80" s="811"/>
      <c r="E80" s="812"/>
      <c r="F80" s="812"/>
      <c r="G80" s="812"/>
      <c r="H80" s="812"/>
      <c r="I80" s="812"/>
      <c r="J80" s="812"/>
      <c r="K80" s="812"/>
      <c r="L80" s="812"/>
      <c r="M80" s="812"/>
      <c r="N80" s="812"/>
      <c r="O80" s="812"/>
      <c r="P80" s="812"/>
      <c r="Q80" s="812"/>
      <c r="R80" s="813"/>
      <c r="S80" s="813"/>
      <c r="T80" s="814">
        <f>R80/R13*100</f>
        <v>0</v>
      </c>
    </row>
    <row r="81" spans="1:20" s="581" customFormat="1" ht="13.5" thickBot="1">
      <c r="A81" s="815" t="s">
        <v>41</v>
      </c>
      <c r="B81" s="816"/>
      <c r="C81" s="817"/>
      <c r="D81" s="818"/>
      <c r="E81" s="819">
        <f>E78+E73+E68+E63+E58+E52+E47+E32+E37+E27+E42+E17+E22</f>
        <v>5.0448644298108078</v>
      </c>
      <c r="F81" s="819">
        <f t="shared" ref="F81:P81" si="24">F78+F73+F68+F63+F58+F52+F47+F32+F37+F27+F42+F17+F22</f>
        <v>5.58981582523257</v>
      </c>
      <c r="G81" s="819">
        <f t="shared" si="24"/>
        <v>8.5117606355179269</v>
      </c>
      <c r="H81" s="819">
        <f t="shared" si="24"/>
        <v>8.6363925995609918</v>
      </c>
      <c r="I81" s="819">
        <f t="shared" si="24"/>
        <v>5.3304241664053515</v>
      </c>
      <c r="J81" s="819">
        <f t="shared" si="24"/>
        <v>16.150367304275115</v>
      </c>
      <c r="K81" s="819">
        <f t="shared" si="24"/>
        <v>5.0796663530887418</v>
      </c>
      <c r="L81" s="819">
        <f t="shared" si="24"/>
        <v>11.99847057593812</v>
      </c>
      <c r="M81" s="819">
        <f t="shared" si="24"/>
        <v>5.9014909585031878</v>
      </c>
      <c r="N81" s="819">
        <f t="shared" si="24"/>
        <v>8.3096234974391141</v>
      </c>
      <c r="O81" s="819">
        <f t="shared" si="24"/>
        <v>15.349238841852204</v>
      </c>
      <c r="P81" s="819">
        <f t="shared" si="24"/>
        <v>4.4246539144977524</v>
      </c>
      <c r="Q81" s="819"/>
      <c r="R81" s="820"/>
      <c r="S81" s="820"/>
      <c r="T81" s="821"/>
    </row>
    <row r="82" spans="1:20" s="581" customFormat="1" ht="14.25" thickTop="1" thickBot="1">
      <c r="A82" s="822" t="s">
        <v>42</v>
      </c>
      <c r="B82" s="420"/>
      <c r="C82" s="420"/>
      <c r="D82" s="421"/>
      <c r="E82" s="823">
        <f>SUM($E$81:E81)</f>
        <v>5.0448644298108078</v>
      </c>
      <c r="F82" s="823">
        <f>SUM($E$81:F81)</f>
        <v>10.634680255043378</v>
      </c>
      <c r="G82" s="823">
        <f>SUM($E$81:G81)</f>
        <v>19.146440890561305</v>
      </c>
      <c r="H82" s="823">
        <f>SUM($E$81:H81)</f>
        <v>27.782833490122297</v>
      </c>
      <c r="I82" s="823">
        <f>SUM($E$81:I81)</f>
        <v>33.113257656527651</v>
      </c>
      <c r="J82" s="823">
        <f>SUM($E$81:J81)</f>
        <v>49.263624960802765</v>
      </c>
      <c r="K82" s="823">
        <f>SUM($E$81:K81)</f>
        <v>54.343291313891505</v>
      </c>
      <c r="L82" s="823">
        <f>SUM($E$81:L81)</f>
        <v>66.341761889829627</v>
      </c>
      <c r="M82" s="823">
        <f>SUM($E$81:M81)</f>
        <v>72.243252848332816</v>
      </c>
      <c r="N82" s="823">
        <f>SUM($E$81:N81)</f>
        <v>80.552876345771935</v>
      </c>
      <c r="O82" s="823">
        <f>SUM($E$81:O81)</f>
        <v>95.902115187624133</v>
      </c>
      <c r="P82" s="824">
        <f>SUM($E$81:P81)</f>
        <v>100.32676910212189</v>
      </c>
      <c r="Q82" s="824"/>
      <c r="R82" s="825">
        <f>SUM(R14:R80)</f>
        <v>318900000</v>
      </c>
      <c r="S82" s="421"/>
      <c r="T82" s="826">
        <f>SUM(T14:T80)</f>
        <v>100</v>
      </c>
    </row>
    <row r="83" spans="1:20" s="581" customFormat="1" ht="2.25" customHeight="1">
      <c r="A83" s="611"/>
      <c r="B83" s="606"/>
      <c r="C83" s="606"/>
      <c r="D83" s="606"/>
      <c r="E83" s="610"/>
      <c r="F83" s="610"/>
      <c r="G83" s="610"/>
      <c r="H83" s="610"/>
      <c r="I83" s="610"/>
      <c r="J83" s="610"/>
      <c r="K83" s="610"/>
      <c r="L83" s="610"/>
      <c r="M83" s="610"/>
      <c r="N83" s="610"/>
      <c r="O83" s="610"/>
      <c r="P83" s="609"/>
      <c r="Q83" s="609"/>
      <c r="R83" s="827" t="s">
        <v>60</v>
      </c>
      <c r="S83" s="606"/>
      <c r="T83" s="828"/>
    </row>
    <row r="84" spans="1:20" s="581" customFormat="1">
      <c r="A84" s="241"/>
      <c r="B84" s="241"/>
      <c r="C84" s="241"/>
      <c r="D84" s="241"/>
      <c r="E84" s="241"/>
      <c r="F84" s="241"/>
      <c r="G84" s="241"/>
      <c r="H84" s="241"/>
      <c r="L84" s="241"/>
      <c r="M84" s="241"/>
      <c r="R84" s="829" t="s">
        <v>60</v>
      </c>
      <c r="T84" s="582"/>
    </row>
    <row r="85" spans="1:20" s="581" customFormat="1">
      <c r="A85" s="830" t="s">
        <v>98</v>
      </c>
      <c r="B85" s="830"/>
      <c r="C85" s="830"/>
      <c r="D85" s="240"/>
      <c r="E85" s="240"/>
      <c r="F85" s="240"/>
      <c r="G85" s="240"/>
      <c r="H85" s="240"/>
      <c r="L85" s="240"/>
      <c r="M85" s="240"/>
      <c r="N85" s="830" t="s">
        <v>43</v>
      </c>
      <c r="O85" s="830"/>
      <c r="P85" s="830"/>
      <c r="Q85" s="830"/>
      <c r="R85" s="830"/>
      <c r="T85" s="831"/>
    </row>
    <row r="86" spans="1:20" s="581" customFormat="1" ht="15.75">
      <c r="A86" s="830" t="s">
        <v>99</v>
      </c>
      <c r="B86" s="830"/>
      <c r="C86" s="830"/>
      <c r="D86" s="240"/>
      <c r="E86" s="240"/>
      <c r="F86" s="240"/>
      <c r="G86" s="240"/>
      <c r="H86" s="240"/>
      <c r="L86" s="832"/>
      <c r="M86" s="832"/>
      <c r="N86" s="833"/>
      <c r="O86" s="833"/>
      <c r="P86" s="832"/>
      <c r="S86" s="832"/>
      <c r="T86" s="832"/>
    </row>
    <row r="87" spans="1:20" s="581" customFormat="1" ht="15.75">
      <c r="A87" s="830" t="s">
        <v>56</v>
      </c>
      <c r="B87" s="830"/>
      <c r="C87" s="830"/>
      <c r="D87" s="240"/>
      <c r="E87" s="240"/>
      <c r="F87" s="240"/>
      <c r="G87" s="240"/>
      <c r="H87" s="240"/>
      <c r="L87" s="832"/>
      <c r="M87" s="832"/>
      <c r="N87" s="833"/>
      <c r="O87" s="833"/>
      <c r="P87" s="832"/>
      <c r="S87" s="832"/>
      <c r="T87" s="832"/>
    </row>
    <row r="88" spans="1:20" s="581" customFormat="1" ht="15.75">
      <c r="A88" s="830" t="s">
        <v>100</v>
      </c>
      <c r="B88" s="830"/>
      <c r="C88" s="830"/>
      <c r="D88" s="240"/>
      <c r="E88" s="240"/>
      <c r="F88" s="240"/>
      <c r="G88" s="240"/>
      <c r="H88" s="240"/>
      <c r="L88" s="834"/>
      <c r="M88" s="834"/>
      <c r="N88" s="835"/>
      <c r="O88" s="835"/>
      <c r="P88" s="832" t="s">
        <v>225</v>
      </c>
      <c r="S88" s="834"/>
      <c r="T88" s="834"/>
    </row>
    <row r="89" spans="1:20" s="581" customFormat="1" ht="15.75">
      <c r="A89" s="240"/>
      <c r="B89" s="240"/>
      <c r="C89" s="240"/>
      <c r="D89" s="240"/>
      <c r="E89" s="240"/>
      <c r="F89" s="240"/>
      <c r="G89" s="240"/>
      <c r="H89" s="240"/>
      <c r="L89" s="834"/>
      <c r="M89" s="834"/>
      <c r="N89" s="835"/>
      <c r="O89" s="835"/>
      <c r="P89" s="832"/>
      <c r="S89" s="834"/>
      <c r="T89" s="834"/>
    </row>
    <row r="90" spans="1:20" s="581" customFormat="1" ht="15.75">
      <c r="A90" s="240"/>
      <c r="B90" s="240"/>
      <c r="C90" s="240"/>
      <c r="D90" s="240"/>
      <c r="E90" s="240"/>
      <c r="F90" s="240"/>
      <c r="G90" s="240"/>
      <c r="H90" s="240"/>
      <c r="L90" s="834"/>
      <c r="M90" s="834"/>
      <c r="N90" s="835"/>
      <c r="O90" s="835"/>
      <c r="P90" s="832"/>
      <c r="S90" s="834"/>
      <c r="T90" s="834"/>
    </row>
    <row r="91" spans="1:20" s="581" customFormat="1" ht="15.75">
      <c r="A91" s="240"/>
      <c r="B91" s="240"/>
      <c r="C91" s="240"/>
      <c r="D91" s="240"/>
      <c r="E91" s="240"/>
      <c r="F91" s="240"/>
      <c r="G91" s="240"/>
      <c r="H91" s="240"/>
      <c r="L91" s="834"/>
      <c r="M91" s="834"/>
      <c r="N91" s="835"/>
      <c r="O91" s="835"/>
      <c r="P91" s="834"/>
      <c r="S91" s="834"/>
      <c r="T91" s="834"/>
    </row>
    <row r="92" spans="1:20" s="581" customFormat="1" ht="15.75">
      <c r="A92" s="836" t="s">
        <v>101</v>
      </c>
      <c r="B92" s="836"/>
      <c r="C92" s="836"/>
      <c r="D92" s="245"/>
      <c r="E92" s="245"/>
      <c r="F92" s="245"/>
      <c r="G92" s="245"/>
      <c r="H92" s="245"/>
      <c r="L92" s="837"/>
      <c r="M92" s="837"/>
      <c r="N92" s="835"/>
      <c r="O92" s="835"/>
      <c r="P92" s="837" t="s">
        <v>226</v>
      </c>
      <c r="S92" s="837"/>
      <c r="T92" s="837"/>
    </row>
    <row r="93" spans="1:20" s="581" customFormat="1" ht="15.75">
      <c r="A93" s="830" t="s">
        <v>49</v>
      </c>
      <c r="B93" s="830"/>
      <c r="C93" s="830"/>
      <c r="D93" s="240"/>
      <c r="E93" s="240"/>
      <c r="F93" s="240"/>
      <c r="G93" s="240"/>
      <c r="H93" s="240"/>
      <c r="L93" s="834"/>
      <c r="M93" s="834"/>
      <c r="N93" s="835"/>
      <c r="O93" s="835"/>
      <c r="P93" s="834" t="s">
        <v>227</v>
      </c>
      <c r="S93" s="834"/>
      <c r="T93" s="834"/>
    </row>
  </sheetData>
  <mergeCells count="22">
    <mergeCell ref="A86:C86"/>
    <mergeCell ref="A87:C87"/>
    <mergeCell ref="A88:C88"/>
    <mergeCell ref="A92:C92"/>
    <mergeCell ref="A93:C93"/>
    <mergeCell ref="H9:J9"/>
    <mergeCell ref="K9:M9"/>
    <mergeCell ref="N9:P9"/>
    <mergeCell ref="B12:C12"/>
    <mergeCell ref="B81:C81"/>
    <mergeCell ref="A85:C85"/>
    <mergeCell ref="N85:R85"/>
    <mergeCell ref="A1:T1"/>
    <mergeCell ref="A2:T2"/>
    <mergeCell ref="C6:D6"/>
    <mergeCell ref="A8:A11"/>
    <mergeCell ref="B8:C11"/>
    <mergeCell ref="D8:D11"/>
    <mergeCell ref="E8:P8"/>
    <mergeCell ref="R8:R10"/>
    <mergeCell ref="S8:S10"/>
    <mergeCell ref="E9:G9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6"/>
  <sheetViews>
    <sheetView zoomScale="85" zoomScaleNormal="85" workbookViewId="0">
      <selection activeCell="S23" sqref="S23"/>
    </sheetView>
  </sheetViews>
  <sheetFormatPr defaultRowHeight="12.75"/>
  <cols>
    <col min="1" max="1" width="2.85546875" style="581" customWidth="1"/>
    <col min="2" max="2" width="32.140625" style="581" customWidth="1"/>
    <col min="3" max="3" width="4.140625" style="581" customWidth="1"/>
    <col min="4" max="4" width="7.140625" style="581" customWidth="1"/>
    <col min="5" max="5" width="8.140625" style="581" customWidth="1"/>
    <col min="6" max="15" width="5.7109375" style="581" customWidth="1"/>
    <col min="16" max="16" width="6" style="581" customWidth="1"/>
    <col min="17" max="17" width="5.7109375" style="581" customWidth="1"/>
    <col min="18" max="18" width="9.140625" style="581" hidden="1" customWidth="1"/>
    <col min="19" max="19" width="12.7109375" style="581" customWidth="1"/>
    <col min="20" max="20" width="9.140625" style="581"/>
    <col min="21" max="21" width="10.28515625" style="582" customWidth="1"/>
    <col min="22" max="16384" width="9.140625" style="581"/>
  </cols>
  <sheetData>
    <row r="1" spans="2:21" ht="14.25">
      <c r="B1" s="583" t="s">
        <v>58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</row>
    <row r="2" spans="2:21" ht="14.25">
      <c r="B2" s="583" t="s">
        <v>1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</row>
    <row r="3" spans="2:21" ht="11.25" customHeight="1"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</row>
    <row r="4" spans="2:21" ht="15">
      <c r="B4" s="241" t="s">
        <v>2</v>
      </c>
      <c r="C4" s="589" t="s">
        <v>59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U4" s="719"/>
    </row>
    <row r="5" spans="2:21" ht="15">
      <c r="B5" s="241" t="s">
        <v>5</v>
      </c>
      <c r="C5" s="589" t="s">
        <v>228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U5" s="719"/>
    </row>
    <row r="6" spans="2:21" ht="15">
      <c r="B6" s="241" t="s">
        <v>7</v>
      </c>
      <c r="C6" s="589" t="s">
        <v>62</v>
      </c>
      <c r="D6" s="839">
        <f>S13</f>
        <v>274099000</v>
      </c>
      <c r="E6" s="839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</row>
    <row r="7" spans="2:21" ht="12" customHeight="1" thickBot="1"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719"/>
    </row>
    <row r="8" spans="2:21">
      <c r="B8" s="840" t="s">
        <v>8</v>
      </c>
      <c r="C8" s="841" t="s">
        <v>9</v>
      </c>
      <c r="D8" s="842"/>
      <c r="E8" s="843" t="s">
        <v>10</v>
      </c>
      <c r="F8" s="844" t="s">
        <v>11</v>
      </c>
      <c r="G8" s="845"/>
      <c r="H8" s="845"/>
      <c r="I8" s="845"/>
      <c r="J8" s="845"/>
      <c r="K8" s="845"/>
      <c r="L8" s="845"/>
      <c r="M8" s="845"/>
      <c r="N8" s="845"/>
      <c r="O8" s="845"/>
      <c r="P8" s="845"/>
      <c r="Q8" s="846"/>
      <c r="R8" s="847"/>
      <c r="S8" s="843" t="s">
        <v>7</v>
      </c>
      <c r="T8" s="843" t="s">
        <v>12</v>
      </c>
      <c r="U8" s="848" t="s">
        <v>13</v>
      </c>
    </row>
    <row r="9" spans="2:21">
      <c r="B9" s="849"/>
      <c r="C9" s="850"/>
      <c r="D9" s="851"/>
      <c r="E9" s="852"/>
      <c r="F9" s="853" t="s">
        <v>14</v>
      </c>
      <c r="G9" s="854"/>
      <c r="H9" s="855"/>
      <c r="I9" s="853" t="s">
        <v>15</v>
      </c>
      <c r="J9" s="854"/>
      <c r="K9" s="855"/>
      <c r="L9" s="853" t="s">
        <v>16</v>
      </c>
      <c r="M9" s="854"/>
      <c r="N9" s="855"/>
      <c r="O9" s="853" t="s">
        <v>17</v>
      </c>
      <c r="P9" s="854"/>
      <c r="Q9" s="855"/>
      <c r="R9" s="856"/>
      <c r="S9" s="852"/>
      <c r="T9" s="852"/>
      <c r="U9" s="857"/>
    </row>
    <row r="10" spans="2:21">
      <c r="B10" s="849"/>
      <c r="C10" s="850"/>
      <c r="D10" s="851"/>
      <c r="E10" s="852"/>
      <c r="F10" s="858" t="s">
        <v>19</v>
      </c>
      <c r="G10" s="858" t="s">
        <v>20</v>
      </c>
      <c r="H10" s="858" t="s">
        <v>21</v>
      </c>
      <c r="I10" s="858" t="s">
        <v>22</v>
      </c>
      <c r="J10" s="858" t="s">
        <v>23</v>
      </c>
      <c r="K10" s="858" t="s">
        <v>24</v>
      </c>
      <c r="L10" s="858" t="s">
        <v>25</v>
      </c>
      <c r="M10" s="858" t="s">
        <v>26</v>
      </c>
      <c r="N10" s="858" t="s">
        <v>27</v>
      </c>
      <c r="O10" s="858" t="s">
        <v>28</v>
      </c>
      <c r="P10" s="858" t="s">
        <v>29</v>
      </c>
      <c r="Q10" s="858" t="s">
        <v>30</v>
      </c>
      <c r="R10" s="858"/>
      <c r="S10" s="852"/>
      <c r="T10" s="852"/>
      <c r="U10" s="857" t="s">
        <v>229</v>
      </c>
    </row>
    <row r="11" spans="2:21">
      <c r="B11" s="859"/>
      <c r="C11" s="860"/>
      <c r="D11" s="861"/>
      <c r="E11" s="862"/>
      <c r="F11" s="858"/>
      <c r="G11" s="858"/>
      <c r="H11" s="858"/>
      <c r="I11" s="858"/>
      <c r="J11" s="858"/>
      <c r="K11" s="858"/>
      <c r="L11" s="858"/>
      <c r="M11" s="858"/>
      <c r="N11" s="858"/>
      <c r="O11" s="858"/>
      <c r="P11" s="858"/>
      <c r="Q11" s="858"/>
      <c r="R11" s="858"/>
      <c r="S11" s="863" t="s">
        <v>31</v>
      </c>
      <c r="T11" s="863" t="s">
        <v>31</v>
      </c>
      <c r="U11" s="857" t="s">
        <v>32</v>
      </c>
    </row>
    <row r="12" spans="2:21" s="751" customFormat="1" ht="8.25">
      <c r="B12" s="746">
        <v>1</v>
      </c>
      <c r="C12" s="747">
        <v>2</v>
      </c>
      <c r="D12" s="748"/>
      <c r="E12" s="749">
        <v>3</v>
      </c>
      <c r="F12" s="749">
        <v>4</v>
      </c>
      <c r="G12" s="749">
        <v>5</v>
      </c>
      <c r="H12" s="749">
        <v>6</v>
      </c>
      <c r="I12" s="749">
        <v>7</v>
      </c>
      <c r="J12" s="749">
        <v>8</v>
      </c>
      <c r="K12" s="749">
        <v>9</v>
      </c>
      <c r="L12" s="749">
        <v>10</v>
      </c>
      <c r="M12" s="749">
        <v>11</v>
      </c>
      <c r="N12" s="749">
        <v>12</v>
      </c>
      <c r="O12" s="749">
        <v>13</v>
      </c>
      <c r="P12" s="749">
        <v>14</v>
      </c>
      <c r="Q12" s="749">
        <v>15</v>
      </c>
      <c r="R12" s="749"/>
      <c r="S12" s="750">
        <v>16</v>
      </c>
      <c r="T12" s="750">
        <v>17</v>
      </c>
      <c r="U12" s="750">
        <v>18</v>
      </c>
    </row>
    <row r="13" spans="2:21" ht="21">
      <c r="B13" s="752" t="s">
        <v>230</v>
      </c>
      <c r="C13" s="765"/>
      <c r="D13" s="755"/>
      <c r="E13" s="755"/>
      <c r="F13" s="755"/>
      <c r="G13" s="755"/>
      <c r="H13" s="755"/>
      <c r="I13" s="755"/>
      <c r="J13" s="755"/>
      <c r="K13" s="755"/>
      <c r="L13" s="755"/>
      <c r="M13" s="755"/>
      <c r="N13" s="755"/>
      <c r="O13" s="755"/>
      <c r="P13" s="755"/>
      <c r="Q13" s="755"/>
      <c r="R13" s="755"/>
      <c r="S13" s="756">
        <f>S14+S19+S24+S29+S34+S43+S48</f>
        <v>274099000</v>
      </c>
      <c r="T13" s="756"/>
      <c r="U13" s="767">
        <f>U14+U19+U24+U29+U34+U43+U48</f>
        <v>100</v>
      </c>
    </row>
    <row r="14" spans="2:21" s="769" customFormat="1" ht="22.5">
      <c r="B14" s="864" t="s">
        <v>231</v>
      </c>
      <c r="C14" s="795">
        <v>1</v>
      </c>
      <c r="D14" s="786" t="s">
        <v>232</v>
      </c>
      <c r="E14" s="865" t="s">
        <v>35</v>
      </c>
      <c r="F14" s="866">
        <v>8.3333333333333329E-2</v>
      </c>
      <c r="G14" s="866">
        <v>8.3333333333333329E-2</v>
      </c>
      <c r="H14" s="866">
        <v>8.3333333333333329E-2</v>
      </c>
      <c r="I14" s="866">
        <v>8.3333333333333329E-2</v>
      </c>
      <c r="J14" s="866">
        <v>8.3333333333333329E-2</v>
      </c>
      <c r="K14" s="866">
        <v>8.3333333333333329E-2</v>
      </c>
      <c r="L14" s="866">
        <v>8.3333333333333329E-2</v>
      </c>
      <c r="M14" s="866">
        <v>8.3333333333333329E-2</v>
      </c>
      <c r="N14" s="866">
        <v>8.3333333333333329E-2</v>
      </c>
      <c r="O14" s="866">
        <v>8.3333333333333329E-2</v>
      </c>
      <c r="P14" s="866">
        <v>8.3333333333333329E-2</v>
      </c>
      <c r="Q14" s="866">
        <v>8.3333333333333329E-2</v>
      </c>
      <c r="R14" s="762">
        <f>SUM(F14:Q14)</f>
        <v>1</v>
      </c>
      <c r="S14" s="867">
        <f>'[6]anggaran per KGT'!W36</f>
        <v>10155000</v>
      </c>
      <c r="T14" s="768"/>
      <c r="U14" s="763">
        <f>S14/$S$13*100</f>
        <v>3.7048657601815402</v>
      </c>
    </row>
    <row r="15" spans="2:21" s="769" customFormat="1">
      <c r="B15" s="764" t="s">
        <v>66</v>
      </c>
      <c r="C15" s="771"/>
      <c r="D15" s="772"/>
      <c r="E15" s="773"/>
      <c r="F15" s="766">
        <f t="shared" ref="F15:P15" si="0">F14/$C$14*100</f>
        <v>8.3333333333333321</v>
      </c>
      <c r="G15" s="766">
        <f t="shared" si="0"/>
        <v>8.3333333333333321</v>
      </c>
      <c r="H15" s="766">
        <f t="shared" si="0"/>
        <v>8.3333333333333321</v>
      </c>
      <c r="I15" s="766">
        <f t="shared" si="0"/>
        <v>8.3333333333333321</v>
      </c>
      <c r="J15" s="766">
        <f t="shared" si="0"/>
        <v>8.3333333333333321</v>
      </c>
      <c r="K15" s="766">
        <f t="shared" si="0"/>
        <v>8.3333333333333321</v>
      </c>
      <c r="L15" s="766">
        <f t="shared" si="0"/>
        <v>8.3333333333333321</v>
      </c>
      <c r="M15" s="766">
        <f t="shared" si="0"/>
        <v>8.3333333333333321</v>
      </c>
      <c r="N15" s="766">
        <f t="shared" si="0"/>
        <v>8.3333333333333321</v>
      </c>
      <c r="O15" s="766">
        <f t="shared" si="0"/>
        <v>8.3333333333333321</v>
      </c>
      <c r="P15" s="766">
        <f t="shared" si="0"/>
        <v>8.3333333333333321</v>
      </c>
      <c r="Q15" s="766">
        <f>Q14/$C$14*100</f>
        <v>8.3333333333333321</v>
      </c>
      <c r="R15" s="766"/>
      <c r="S15" s="774"/>
      <c r="T15" s="774"/>
      <c r="U15" s="775"/>
    </row>
    <row r="16" spans="2:21" s="769" customFormat="1">
      <c r="B16" s="764" t="s">
        <v>67</v>
      </c>
      <c r="C16" s="771"/>
      <c r="D16" s="772"/>
      <c r="E16" s="773"/>
      <c r="F16" s="766">
        <f>SUM($F$15:F15)</f>
        <v>8.3333333333333321</v>
      </c>
      <c r="G16" s="766">
        <f>SUM($F$15:G15)</f>
        <v>16.666666666666664</v>
      </c>
      <c r="H16" s="766">
        <f>SUM($F$15:H15)</f>
        <v>24.999999999999996</v>
      </c>
      <c r="I16" s="766">
        <f>SUM($F$15:I15)</f>
        <v>33.333333333333329</v>
      </c>
      <c r="J16" s="766">
        <f>SUM($F$15:J15)</f>
        <v>41.666666666666657</v>
      </c>
      <c r="K16" s="766">
        <f>SUM($F$15:K15)</f>
        <v>49.999999999999986</v>
      </c>
      <c r="L16" s="766">
        <f>SUM($F$15:L15)</f>
        <v>58.333333333333314</v>
      </c>
      <c r="M16" s="766">
        <f>SUM($F$15:M15)</f>
        <v>66.666666666666643</v>
      </c>
      <c r="N16" s="766">
        <f>SUM($F$15:N15)</f>
        <v>74.999999999999972</v>
      </c>
      <c r="O16" s="766">
        <f>SUM($F$15:O15)</f>
        <v>83.3333333333333</v>
      </c>
      <c r="P16" s="766">
        <f>SUM($F$15:P15)</f>
        <v>91.666666666666629</v>
      </c>
      <c r="Q16" s="766">
        <f>SUM($F$15:Q15)</f>
        <v>99.999999999999957</v>
      </c>
      <c r="R16" s="766"/>
      <c r="S16" s="776"/>
      <c r="T16" s="776"/>
      <c r="U16" s="775"/>
    </row>
    <row r="17" spans="2:21" s="769" customFormat="1">
      <c r="B17" s="764" t="s">
        <v>68</v>
      </c>
      <c r="C17" s="771"/>
      <c r="D17" s="772"/>
      <c r="E17" s="773"/>
      <c r="F17" s="766">
        <f>F15*$U$14/100</f>
        <v>0.30873881334846165</v>
      </c>
      <c r="G17" s="766">
        <f t="shared" ref="G17:P17" si="1">G15*$U$14/100</f>
        <v>0.30873881334846165</v>
      </c>
      <c r="H17" s="766">
        <f t="shared" si="1"/>
        <v>0.30873881334846165</v>
      </c>
      <c r="I17" s="766">
        <f t="shared" si="1"/>
        <v>0.30873881334846165</v>
      </c>
      <c r="J17" s="766">
        <f t="shared" si="1"/>
        <v>0.30873881334846165</v>
      </c>
      <c r="K17" s="766">
        <f t="shared" si="1"/>
        <v>0.30873881334846165</v>
      </c>
      <c r="L17" s="766">
        <f t="shared" si="1"/>
        <v>0.30873881334846165</v>
      </c>
      <c r="M17" s="766">
        <f t="shared" si="1"/>
        <v>0.30873881334846165</v>
      </c>
      <c r="N17" s="766">
        <f t="shared" si="1"/>
        <v>0.30873881334846165</v>
      </c>
      <c r="O17" s="766">
        <f t="shared" si="1"/>
        <v>0.30873881334846165</v>
      </c>
      <c r="P17" s="766">
        <f t="shared" si="1"/>
        <v>0.30873881334846165</v>
      </c>
      <c r="Q17" s="766">
        <f>Q15*$U$14/100</f>
        <v>0.30873881334846165</v>
      </c>
      <c r="R17" s="766"/>
      <c r="S17" s="776"/>
      <c r="T17" s="776"/>
      <c r="U17" s="775"/>
    </row>
    <row r="18" spans="2:21" s="769" customFormat="1" ht="8.25" customHeight="1">
      <c r="B18" s="777"/>
      <c r="C18" s="778"/>
      <c r="D18" s="779"/>
      <c r="E18" s="780"/>
      <c r="F18" s="781"/>
      <c r="G18" s="781"/>
      <c r="H18" s="781"/>
      <c r="I18" s="781"/>
      <c r="J18" s="781"/>
      <c r="K18" s="781"/>
      <c r="L18" s="781"/>
      <c r="M18" s="781"/>
      <c r="N18" s="781"/>
      <c r="O18" s="781"/>
      <c r="P18" s="781"/>
      <c r="Q18" s="781"/>
      <c r="R18" s="781"/>
      <c r="S18" s="782"/>
      <c r="T18" s="782"/>
      <c r="U18" s="783"/>
    </row>
    <row r="19" spans="2:21" s="769" customFormat="1" ht="22.5">
      <c r="B19" s="784" t="s">
        <v>233</v>
      </c>
      <c r="C19" s="795">
        <v>1</v>
      </c>
      <c r="D19" s="786" t="s">
        <v>232</v>
      </c>
      <c r="E19" s="787" t="s">
        <v>35</v>
      </c>
      <c r="F19" s="866">
        <v>8.3333333333333329E-2</v>
      </c>
      <c r="G19" s="866">
        <v>8.3333333333333329E-2</v>
      </c>
      <c r="H19" s="866">
        <v>8.3333333333333329E-2</v>
      </c>
      <c r="I19" s="866">
        <v>8.3333333333333329E-2</v>
      </c>
      <c r="J19" s="866">
        <v>8.3333333333333329E-2</v>
      </c>
      <c r="K19" s="866">
        <v>8.3333333333333329E-2</v>
      </c>
      <c r="L19" s="866">
        <v>8.3333333333333329E-2</v>
      </c>
      <c r="M19" s="866">
        <v>8.3333333333333329E-2</v>
      </c>
      <c r="N19" s="866">
        <v>8.3333333333333329E-2</v>
      </c>
      <c r="O19" s="866">
        <v>8.3333333333333329E-2</v>
      </c>
      <c r="P19" s="866">
        <v>8.3333333333333329E-2</v>
      </c>
      <c r="Q19" s="866">
        <v>8.3333333333333329E-2</v>
      </c>
      <c r="R19" s="762">
        <f>SUM(F19:Q19)</f>
        <v>1</v>
      </c>
      <c r="S19" s="867">
        <f>'[6]anggaran per KGT'!W46</f>
        <v>6693000</v>
      </c>
      <c r="T19" s="790"/>
      <c r="U19" s="800">
        <f>S19/$S$13*100</f>
        <v>2.4418184670502265</v>
      </c>
    </row>
    <row r="20" spans="2:21" s="769" customFormat="1">
      <c r="B20" s="764" t="s">
        <v>66</v>
      </c>
      <c r="C20" s="771"/>
      <c r="D20" s="772"/>
      <c r="E20" s="791"/>
      <c r="F20" s="792">
        <f>F19/$C$19*100</f>
        <v>8.3333333333333321</v>
      </c>
      <c r="G20" s="792">
        <f t="shared" ref="G20:P20" si="2">G19/$C$19*100</f>
        <v>8.3333333333333321</v>
      </c>
      <c r="H20" s="792">
        <f t="shared" si="2"/>
        <v>8.3333333333333321</v>
      </c>
      <c r="I20" s="792">
        <f t="shared" si="2"/>
        <v>8.3333333333333321</v>
      </c>
      <c r="J20" s="792">
        <f t="shared" si="2"/>
        <v>8.3333333333333321</v>
      </c>
      <c r="K20" s="792">
        <f t="shared" si="2"/>
        <v>8.3333333333333321</v>
      </c>
      <c r="L20" s="792">
        <f t="shared" si="2"/>
        <v>8.3333333333333321</v>
      </c>
      <c r="M20" s="792">
        <f t="shared" si="2"/>
        <v>8.3333333333333321</v>
      </c>
      <c r="N20" s="792">
        <f t="shared" si="2"/>
        <v>8.3333333333333321</v>
      </c>
      <c r="O20" s="792">
        <f t="shared" si="2"/>
        <v>8.3333333333333321</v>
      </c>
      <c r="P20" s="792">
        <f t="shared" si="2"/>
        <v>8.3333333333333321</v>
      </c>
      <c r="Q20" s="792">
        <f>Q19/$C$19*100</f>
        <v>8.3333333333333321</v>
      </c>
      <c r="R20" s="792"/>
      <c r="S20" s="774"/>
      <c r="T20" s="774"/>
      <c r="U20" s="775"/>
    </row>
    <row r="21" spans="2:21" s="769" customFormat="1">
      <c r="B21" s="764" t="s">
        <v>67</v>
      </c>
      <c r="C21" s="771"/>
      <c r="D21" s="772"/>
      <c r="E21" s="791"/>
      <c r="F21" s="792">
        <f>SUM($F$20:F20)</f>
        <v>8.3333333333333321</v>
      </c>
      <c r="G21" s="792">
        <f>SUM($F$20:G20)</f>
        <v>16.666666666666664</v>
      </c>
      <c r="H21" s="792">
        <f>SUM($F$20:H20)</f>
        <v>24.999999999999996</v>
      </c>
      <c r="I21" s="792">
        <f>SUM($F$20:I20)</f>
        <v>33.333333333333329</v>
      </c>
      <c r="J21" s="792">
        <f>SUM($F$20:J20)</f>
        <v>41.666666666666657</v>
      </c>
      <c r="K21" s="792">
        <f>SUM($F$20:K20)</f>
        <v>49.999999999999986</v>
      </c>
      <c r="L21" s="792">
        <f>SUM($F$20:L20)</f>
        <v>58.333333333333314</v>
      </c>
      <c r="M21" s="792">
        <f>SUM($F$20:M20)</f>
        <v>66.666666666666643</v>
      </c>
      <c r="N21" s="792">
        <f>SUM($F$20:N20)</f>
        <v>74.999999999999972</v>
      </c>
      <c r="O21" s="792">
        <f>SUM($F$20:O20)</f>
        <v>83.3333333333333</v>
      </c>
      <c r="P21" s="792">
        <f>SUM($F$20:P20)</f>
        <v>91.666666666666629</v>
      </c>
      <c r="Q21" s="792">
        <f>SUM($F$20:Q20)</f>
        <v>99.999999999999957</v>
      </c>
      <c r="R21" s="792"/>
      <c r="S21" s="776"/>
      <c r="T21" s="776"/>
      <c r="U21" s="775"/>
    </row>
    <row r="22" spans="2:21" s="769" customFormat="1">
      <c r="B22" s="764" t="s">
        <v>68</v>
      </c>
      <c r="C22" s="771"/>
      <c r="D22" s="772"/>
      <c r="E22" s="791"/>
      <c r="F22" s="792">
        <f>F20*$U$19/100</f>
        <v>0.20348487225418552</v>
      </c>
      <c r="G22" s="792">
        <f>G20*$U$19/100</f>
        <v>0.20348487225418552</v>
      </c>
      <c r="H22" s="792">
        <f t="shared" ref="H22:P22" si="3">H20*$U$19/100</f>
        <v>0.20348487225418552</v>
      </c>
      <c r="I22" s="792">
        <f>I20*$U$19/100</f>
        <v>0.20348487225418552</v>
      </c>
      <c r="J22" s="792">
        <f t="shared" si="3"/>
        <v>0.20348487225418552</v>
      </c>
      <c r="K22" s="792">
        <f t="shared" si="3"/>
        <v>0.20348487225418552</v>
      </c>
      <c r="L22" s="792">
        <f t="shared" si="3"/>
        <v>0.20348487225418552</v>
      </c>
      <c r="M22" s="792">
        <f t="shared" si="3"/>
        <v>0.20348487225418552</v>
      </c>
      <c r="N22" s="792">
        <f t="shared" si="3"/>
        <v>0.20348487225418552</v>
      </c>
      <c r="O22" s="792">
        <f t="shared" si="3"/>
        <v>0.20348487225418552</v>
      </c>
      <c r="P22" s="792">
        <f t="shared" si="3"/>
        <v>0.20348487225418552</v>
      </c>
      <c r="Q22" s="792">
        <f>Q20*$U$19/100</f>
        <v>0.20348487225418552</v>
      </c>
      <c r="R22" s="792"/>
      <c r="S22" s="776"/>
      <c r="T22" s="776"/>
      <c r="U22" s="775"/>
    </row>
    <row r="23" spans="2:21" s="769" customFormat="1" ht="8.25" customHeight="1">
      <c r="B23" s="793"/>
      <c r="C23" s="771"/>
      <c r="D23" s="772"/>
      <c r="E23" s="791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82"/>
      <c r="T23" s="776"/>
      <c r="U23" s="775"/>
    </row>
    <row r="24" spans="2:21" s="769" customFormat="1">
      <c r="B24" s="784" t="s">
        <v>234</v>
      </c>
      <c r="C24" s="785">
        <v>1</v>
      </c>
      <c r="D24" s="786" t="s">
        <v>232</v>
      </c>
      <c r="E24" s="787" t="s">
        <v>35</v>
      </c>
      <c r="F24" s="866">
        <v>8.3333333333333329E-2</v>
      </c>
      <c r="G24" s="866">
        <v>8.3333333333333329E-2</v>
      </c>
      <c r="H24" s="866">
        <v>8.3333333333333329E-2</v>
      </c>
      <c r="I24" s="866">
        <v>8.3333333333333329E-2</v>
      </c>
      <c r="J24" s="866">
        <v>8.3333333333333329E-2</v>
      </c>
      <c r="K24" s="866">
        <v>8.3333333333333329E-2</v>
      </c>
      <c r="L24" s="866">
        <v>8.3333333333333329E-2</v>
      </c>
      <c r="M24" s="866">
        <v>8.3333333333333329E-2</v>
      </c>
      <c r="N24" s="866">
        <v>8.3333333333333329E-2</v>
      </c>
      <c r="O24" s="866">
        <v>8.3333333333333329E-2</v>
      </c>
      <c r="P24" s="866">
        <v>8.3333333333333329E-2</v>
      </c>
      <c r="Q24" s="866">
        <v>8.3333333333333329E-2</v>
      </c>
      <c r="R24" s="762">
        <f>SUM(F24:Q24)</f>
        <v>1</v>
      </c>
      <c r="S24" s="867">
        <f>'[6]anggaran per KGT'!W52</f>
        <v>11985000</v>
      </c>
      <c r="T24" s="790"/>
      <c r="U24" s="800">
        <f>S24/$S$13*100</f>
        <v>4.3725077435525117</v>
      </c>
    </row>
    <row r="25" spans="2:21" s="769" customFormat="1">
      <c r="B25" s="764" t="s">
        <v>36</v>
      </c>
      <c r="C25" s="771"/>
      <c r="D25" s="772"/>
      <c r="E25" s="791"/>
      <c r="F25" s="792">
        <f>F24/$C$24*100</f>
        <v>8.3333333333333321</v>
      </c>
      <c r="G25" s="792">
        <f t="shared" ref="G25:P25" si="4">G24/$C$24*100</f>
        <v>8.3333333333333321</v>
      </c>
      <c r="H25" s="792">
        <f t="shared" si="4"/>
        <v>8.3333333333333321</v>
      </c>
      <c r="I25" s="792">
        <f t="shared" si="4"/>
        <v>8.3333333333333321</v>
      </c>
      <c r="J25" s="792">
        <f t="shared" si="4"/>
        <v>8.3333333333333321</v>
      </c>
      <c r="K25" s="792">
        <f t="shared" si="4"/>
        <v>8.3333333333333321</v>
      </c>
      <c r="L25" s="792">
        <f t="shared" si="4"/>
        <v>8.3333333333333321</v>
      </c>
      <c r="M25" s="792">
        <f t="shared" si="4"/>
        <v>8.3333333333333321</v>
      </c>
      <c r="N25" s="792">
        <f t="shared" si="4"/>
        <v>8.3333333333333321</v>
      </c>
      <c r="O25" s="792">
        <f t="shared" si="4"/>
        <v>8.3333333333333321</v>
      </c>
      <c r="P25" s="792">
        <f t="shared" si="4"/>
        <v>8.3333333333333321</v>
      </c>
      <c r="Q25" s="792">
        <f>Q24/$C$24*100</f>
        <v>8.3333333333333321</v>
      </c>
      <c r="R25" s="792"/>
      <c r="S25" s="774"/>
      <c r="T25" s="774"/>
      <c r="U25" s="775"/>
    </row>
    <row r="26" spans="2:21" s="769" customFormat="1">
      <c r="B26" s="764" t="s">
        <v>37</v>
      </c>
      <c r="C26" s="771"/>
      <c r="D26" s="772"/>
      <c r="E26" s="791"/>
      <c r="F26" s="792">
        <f>SUM($F$25:F25)</f>
        <v>8.3333333333333321</v>
      </c>
      <c r="G26" s="792">
        <f>SUM($F$25:G25)</f>
        <v>16.666666666666664</v>
      </c>
      <c r="H26" s="792">
        <f>SUM($F$25:H25)</f>
        <v>24.999999999999996</v>
      </c>
      <c r="I26" s="792">
        <f>SUM($F$25:I25)</f>
        <v>33.333333333333329</v>
      </c>
      <c r="J26" s="792">
        <f>SUM($F$25:J25)</f>
        <v>41.666666666666657</v>
      </c>
      <c r="K26" s="792">
        <f>SUM($F$25:K25)</f>
        <v>49.999999999999986</v>
      </c>
      <c r="L26" s="792">
        <f>SUM($F$25:L25)</f>
        <v>58.333333333333314</v>
      </c>
      <c r="M26" s="792">
        <f>SUM($F$25:M25)</f>
        <v>66.666666666666643</v>
      </c>
      <c r="N26" s="792">
        <f>SUM($F$25:N25)</f>
        <v>74.999999999999972</v>
      </c>
      <c r="O26" s="792">
        <f>SUM($F$25:O25)</f>
        <v>83.3333333333333</v>
      </c>
      <c r="P26" s="792">
        <f>SUM($F$25:P25)</f>
        <v>91.666666666666629</v>
      </c>
      <c r="Q26" s="792">
        <f>SUM($F$25:Q25)</f>
        <v>99.999999999999957</v>
      </c>
      <c r="R26" s="792"/>
      <c r="S26" s="776"/>
      <c r="T26" s="776"/>
      <c r="U26" s="775"/>
    </row>
    <row r="27" spans="2:21" s="769" customFormat="1">
      <c r="B27" s="764" t="s">
        <v>38</v>
      </c>
      <c r="C27" s="771"/>
      <c r="D27" s="772"/>
      <c r="E27" s="791"/>
      <c r="F27" s="792">
        <f t="shared" ref="F27:P27" si="5">F25*$U$24/100</f>
        <v>0.36437564529604261</v>
      </c>
      <c r="G27" s="792">
        <f t="shared" si="5"/>
        <v>0.36437564529604261</v>
      </c>
      <c r="H27" s="792">
        <f t="shared" si="5"/>
        <v>0.36437564529604261</v>
      </c>
      <c r="I27" s="792">
        <f t="shared" si="5"/>
        <v>0.36437564529604261</v>
      </c>
      <c r="J27" s="792">
        <f t="shared" si="5"/>
        <v>0.36437564529604261</v>
      </c>
      <c r="K27" s="792">
        <f t="shared" si="5"/>
        <v>0.36437564529604261</v>
      </c>
      <c r="L27" s="792">
        <f t="shared" si="5"/>
        <v>0.36437564529604261</v>
      </c>
      <c r="M27" s="792">
        <f t="shared" si="5"/>
        <v>0.36437564529604261</v>
      </c>
      <c r="N27" s="792">
        <f t="shared" si="5"/>
        <v>0.36437564529604261</v>
      </c>
      <c r="O27" s="792">
        <f t="shared" si="5"/>
        <v>0.36437564529604261</v>
      </c>
      <c r="P27" s="792">
        <f t="shared" si="5"/>
        <v>0.36437564529604261</v>
      </c>
      <c r="Q27" s="792">
        <f>Q25*$U$24/100</f>
        <v>0.36437564529604261</v>
      </c>
      <c r="R27" s="792"/>
      <c r="S27" s="776"/>
      <c r="T27" s="776"/>
      <c r="U27" s="775"/>
    </row>
    <row r="28" spans="2:21" s="769" customFormat="1" ht="8.25" customHeight="1">
      <c r="B28" s="793"/>
      <c r="C28" s="771"/>
      <c r="D28" s="772"/>
      <c r="E28" s="791"/>
      <c r="F28" s="792"/>
      <c r="G28" s="792"/>
      <c r="H28" s="792"/>
      <c r="I28" s="792"/>
      <c r="J28" s="792"/>
      <c r="K28" s="792"/>
      <c r="L28" s="792"/>
      <c r="M28" s="792"/>
      <c r="N28" s="792"/>
      <c r="O28" s="792"/>
      <c r="P28" s="792"/>
      <c r="Q28" s="792"/>
      <c r="R28" s="792"/>
      <c r="S28" s="782"/>
      <c r="T28" s="776"/>
      <c r="U28" s="775"/>
    </row>
    <row r="29" spans="2:21" s="769" customFormat="1">
      <c r="B29" s="784" t="s">
        <v>235</v>
      </c>
      <c r="C29" s="785">
        <v>10</v>
      </c>
      <c r="D29" s="786" t="s">
        <v>202</v>
      </c>
      <c r="E29" s="787" t="s">
        <v>165</v>
      </c>
      <c r="F29" s="788">
        <v>0</v>
      </c>
      <c r="G29" s="788">
        <v>1</v>
      </c>
      <c r="H29" s="788">
        <v>1</v>
      </c>
      <c r="I29" s="788">
        <v>1</v>
      </c>
      <c r="J29" s="788">
        <v>0</v>
      </c>
      <c r="K29" s="788">
        <v>1</v>
      </c>
      <c r="L29" s="788">
        <v>1</v>
      </c>
      <c r="M29" s="788">
        <v>1</v>
      </c>
      <c r="N29" s="788">
        <v>1</v>
      </c>
      <c r="O29" s="788">
        <v>1</v>
      </c>
      <c r="P29" s="788">
        <v>1</v>
      </c>
      <c r="Q29" s="788">
        <v>1</v>
      </c>
      <c r="R29" s="789">
        <f>SUM(F29:Q29)</f>
        <v>10</v>
      </c>
      <c r="S29" s="867">
        <f>'[6]anggaran per KGT'!W61</f>
        <v>30952000</v>
      </c>
      <c r="T29" s="790"/>
      <c r="U29" s="800">
        <f>S29/$S$13*100</f>
        <v>11.292270311091977</v>
      </c>
    </row>
    <row r="30" spans="2:21" s="769" customFormat="1">
      <c r="B30" s="764" t="s">
        <v>66</v>
      </c>
      <c r="C30" s="771"/>
      <c r="D30" s="772"/>
      <c r="E30" s="791"/>
      <c r="F30" s="792">
        <f>F29/$C$29*100</f>
        <v>0</v>
      </c>
      <c r="G30" s="792">
        <f t="shared" ref="G30:P30" si="6">G29/$C$29*100</f>
        <v>10</v>
      </c>
      <c r="H30" s="792">
        <f t="shared" si="6"/>
        <v>10</v>
      </c>
      <c r="I30" s="792">
        <f t="shared" si="6"/>
        <v>10</v>
      </c>
      <c r="J30" s="792">
        <f t="shared" si="6"/>
        <v>0</v>
      </c>
      <c r="K30" s="792">
        <f>K29/$C$29*100</f>
        <v>10</v>
      </c>
      <c r="L30" s="792">
        <f t="shared" si="6"/>
        <v>10</v>
      </c>
      <c r="M30" s="792">
        <f t="shared" si="6"/>
        <v>10</v>
      </c>
      <c r="N30" s="792">
        <f t="shared" si="6"/>
        <v>10</v>
      </c>
      <c r="O30" s="792">
        <f t="shared" si="6"/>
        <v>10</v>
      </c>
      <c r="P30" s="792">
        <f t="shared" si="6"/>
        <v>10</v>
      </c>
      <c r="Q30" s="792">
        <f>Q29/$C$29*100</f>
        <v>10</v>
      </c>
      <c r="R30" s="792"/>
      <c r="S30" s="774"/>
      <c r="T30" s="774"/>
      <c r="U30" s="775"/>
    </row>
    <row r="31" spans="2:21" s="769" customFormat="1">
      <c r="B31" s="764" t="s">
        <v>67</v>
      </c>
      <c r="C31" s="771"/>
      <c r="D31" s="772"/>
      <c r="E31" s="791"/>
      <c r="F31" s="792">
        <f>SUM($F$30:F30)</f>
        <v>0</v>
      </c>
      <c r="G31" s="792">
        <f>SUM($G$30:G30)</f>
        <v>10</v>
      </c>
      <c r="H31" s="792">
        <f>SUM($G$30:H30)</f>
        <v>20</v>
      </c>
      <c r="I31" s="792">
        <f>SUM($G$30:I30)</f>
        <v>30</v>
      </c>
      <c r="J31" s="792">
        <f>SUM($G$30:J30)</f>
        <v>30</v>
      </c>
      <c r="K31" s="792">
        <f>SUM($G$30:K30)</f>
        <v>40</v>
      </c>
      <c r="L31" s="792">
        <f>SUM($G$30:L30)</f>
        <v>50</v>
      </c>
      <c r="M31" s="792">
        <f>SUM($G$30:M30)</f>
        <v>60</v>
      </c>
      <c r="N31" s="792">
        <f>SUM($G$30:N30)</f>
        <v>70</v>
      </c>
      <c r="O31" s="792">
        <f>SUM($G$30:O30)</f>
        <v>80</v>
      </c>
      <c r="P31" s="792">
        <f>SUM($G$30:P30)</f>
        <v>90</v>
      </c>
      <c r="Q31" s="792">
        <f>SUM($G$30:Q30)</f>
        <v>100</v>
      </c>
      <c r="R31" s="792"/>
      <c r="S31" s="776"/>
      <c r="T31" s="776"/>
      <c r="U31" s="775"/>
    </row>
    <row r="32" spans="2:21" s="769" customFormat="1">
      <c r="B32" s="764" t="s">
        <v>68</v>
      </c>
      <c r="C32" s="771"/>
      <c r="D32" s="772"/>
      <c r="E32" s="791"/>
      <c r="F32" s="792">
        <f t="shared" ref="F32:P32" si="7">F30*$U$29/100</f>
        <v>0</v>
      </c>
      <c r="G32" s="792">
        <f t="shared" si="7"/>
        <v>1.1292270311091976</v>
      </c>
      <c r="H32" s="792">
        <f t="shared" si="7"/>
        <v>1.1292270311091976</v>
      </c>
      <c r="I32" s="792">
        <f t="shared" si="7"/>
        <v>1.1292270311091976</v>
      </c>
      <c r="J32" s="792">
        <f t="shared" si="7"/>
        <v>0</v>
      </c>
      <c r="K32" s="792">
        <f t="shared" si="7"/>
        <v>1.1292270311091976</v>
      </c>
      <c r="L32" s="792">
        <f t="shared" si="7"/>
        <v>1.1292270311091976</v>
      </c>
      <c r="M32" s="792">
        <f t="shared" si="7"/>
        <v>1.1292270311091976</v>
      </c>
      <c r="N32" s="792">
        <f t="shared" si="7"/>
        <v>1.1292270311091976</v>
      </c>
      <c r="O32" s="792">
        <f t="shared" si="7"/>
        <v>1.1292270311091976</v>
      </c>
      <c r="P32" s="792">
        <f t="shared" si="7"/>
        <v>1.1292270311091976</v>
      </c>
      <c r="Q32" s="792">
        <f>Q30*$U$29/100</f>
        <v>1.1292270311091976</v>
      </c>
      <c r="R32" s="792"/>
      <c r="S32" s="776"/>
      <c r="T32" s="776"/>
      <c r="U32" s="775"/>
    </row>
    <row r="33" spans="1:21" s="769" customFormat="1" ht="8.25" customHeight="1">
      <c r="B33" s="793"/>
      <c r="C33" s="771"/>
      <c r="D33" s="772"/>
      <c r="E33" s="791"/>
      <c r="F33" s="792"/>
      <c r="G33" s="792"/>
      <c r="H33" s="792"/>
      <c r="I33" s="792"/>
      <c r="J33" s="792"/>
      <c r="K33" s="792"/>
      <c r="L33" s="792"/>
      <c r="M33" s="792"/>
      <c r="N33" s="792"/>
      <c r="O33" s="792"/>
      <c r="P33" s="792"/>
      <c r="Q33" s="792"/>
      <c r="R33" s="792"/>
      <c r="S33" s="782"/>
      <c r="T33" s="776"/>
      <c r="U33" s="775"/>
    </row>
    <row r="34" spans="1:21" s="769" customFormat="1">
      <c r="B34" s="784" t="s">
        <v>236</v>
      </c>
      <c r="C34" s="785">
        <v>1</v>
      </c>
      <c r="D34" s="786" t="s">
        <v>232</v>
      </c>
      <c r="E34" s="787" t="s">
        <v>35</v>
      </c>
      <c r="F34" s="866">
        <v>8.3333333333333329E-2</v>
      </c>
      <c r="G34" s="866">
        <v>8.3333333333333329E-2</v>
      </c>
      <c r="H34" s="866">
        <v>8.3333333333333329E-2</v>
      </c>
      <c r="I34" s="866">
        <v>8.3333333333333329E-2</v>
      </c>
      <c r="J34" s="866">
        <v>8.3333333333333329E-2</v>
      </c>
      <c r="K34" s="866">
        <v>8.3333333333333329E-2</v>
      </c>
      <c r="L34" s="866">
        <v>8.3333333333333329E-2</v>
      </c>
      <c r="M34" s="866">
        <v>8.3333333333333329E-2</v>
      </c>
      <c r="N34" s="866">
        <v>8.3333333333333329E-2</v>
      </c>
      <c r="O34" s="866">
        <v>8.3333333333333329E-2</v>
      </c>
      <c r="P34" s="866">
        <v>8.3333333333333329E-2</v>
      </c>
      <c r="Q34" s="866">
        <v>8.3333333333333329E-2</v>
      </c>
      <c r="R34" s="762">
        <f>SUM(F34:Q34)</f>
        <v>1</v>
      </c>
      <c r="S34" s="867">
        <f>'[6]anggaran per KGT'!W70</f>
        <v>18595000</v>
      </c>
      <c r="T34" s="790"/>
      <c r="U34" s="800">
        <f>S34/$S$13*100</f>
        <v>6.7840451807558582</v>
      </c>
    </row>
    <row r="35" spans="1:21" s="769" customFormat="1">
      <c r="B35" s="764" t="s">
        <v>66</v>
      </c>
      <c r="C35" s="771"/>
      <c r="D35" s="772"/>
      <c r="E35" s="791"/>
      <c r="F35" s="792">
        <f>F34/$C$34*100</f>
        <v>8.3333333333333321</v>
      </c>
      <c r="G35" s="792">
        <f t="shared" ref="G35:P35" si="8">G34/$C$34*100</f>
        <v>8.3333333333333321</v>
      </c>
      <c r="H35" s="792">
        <f t="shared" si="8"/>
        <v>8.3333333333333321</v>
      </c>
      <c r="I35" s="792">
        <f t="shared" si="8"/>
        <v>8.3333333333333321</v>
      </c>
      <c r="J35" s="792">
        <f t="shared" si="8"/>
        <v>8.3333333333333321</v>
      </c>
      <c r="K35" s="792">
        <f t="shared" si="8"/>
        <v>8.3333333333333321</v>
      </c>
      <c r="L35" s="792">
        <f t="shared" si="8"/>
        <v>8.3333333333333321</v>
      </c>
      <c r="M35" s="792">
        <f t="shared" si="8"/>
        <v>8.3333333333333321</v>
      </c>
      <c r="N35" s="792">
        <f t="shared" si="8"/>
        <v>8.3333333333333321</v>
      </c>
      <c r="O35" s="792">
        <f>O34/$C$34*100</f>
        <v>8.3333333333333321</v>
      </c>
      <c r="P35" s="792">
        <f t="shared" si="8"/>
        <v>8.3333333333333321</v>
      </c>
      <c r="Q35" s="792">
        <f>Q34/$C$34*100</f>
        <v>8.3333333333333321</v>
      </c>
      <c r="R35" s="792"/>
      <c r="S35" s="774"/>
      <c r="T35" s="774"/>
      <c r="U35" s="775"/>
    </row>
    <row r="36" spans="1:21" s="769" customFormat="1">
      <c r="B36" s="764" t="s">
        <v>67</v>
      </c>
      <c r="C36" s="771"/>
      <c r="D36" s="772"/>
      <c r="E36" s="791"/>
      <c r="F36" s="792">
        <f>SUM($F$35:F35)</f>
        <v>8.3333333333333321</v>
      </c>
      <c r="G36" s="792">
        <f>SUM($F$35:G35)</f>
        <v>16.666666666666664</v>
      </c>
      <c r="H36" s="792">
        <f>SUM($F$35:H35)</f>
        <v>24.999999999999996</v>
      </c>
      <c r="I36" s="792">
        <f>SUM($F$35:I35)</f>
        <v>33.333333333333329</v>
      </c>
      <c r="J36" s="792">
        <f>SUM($F$35:J35)</f>
        <v>41.666666666666657</v>
      </c>
      <c r="K36" s="792">
        <f>SUM($F$35:K35)</f>
        <v>49.999999999999986</v>
      </c>
      <c r="L36" s="792">
        <f>SUM($F$35:L35)</f>
        <v>58.333333333333314</v>
      </c>
      <c r="M36" s="792">
        <f>SUM($F$35:M35)</f>
        <v>66.666666666666643</v>
      </c>
      <c r="N36" s="792">
        <f>SUM($F$35:N35)</f>
        <v>74.999999999999972</v>
      </c>
      <c r="O36" s="792">
        <f>SUM($F$35:O35)</f>
        <v>83.3333333333333</v>
      </c>
      <c r="P36" s="792">
        <f>SUM($F$35:P35)</f>
        <v>91.666666666666629</v>
      </c>
      <c r="Q36" s="792">
        <f>SUM($F$35:Q35)</f>
        <v>99.999999999999957</v>
      </c>
      <c r="R36" s="792"/>
      <c r="S36" s="776"/>
      <c r="T36" s="776"/>
      <c r="U36" s="775"/>
    </row>
    <row r="37" spans="1:21" s="769" customFormat="1">
      <c r="B37" s="764" t="s">
        <v>68</v>
      </c>
      <c r="C37" s="771"/>
      <c r="D37" s="772"/>
      <c r="E37" s="791"/>
      <c r="F37" s="792">
        <f t="shared" ref="F37:P37" si="9">F35*$U$34/100</f>
        <v>0.5653370983963214</v>
      </c>
      <c r="G37" s="792">
        <f t="shared" si="9"/>
        <v>0.5653370983963214</v>
      </c>
      <c r="H37" s="792">
        <f t="shared" si="9"/>
        <v>0.5653370983963214</v>
      </c>
      <c r="I37" s="792">
        <f t="shared" si="9"/>
        <v>0.5653370983963214</v>
      </c>
      <c r="J37" s="792">
        <f t="shared" si="9"/>
        <v>0.5653370983963214</v>
      </c>
      <c r="K37" s="792">
        <f t="shared" si="9"/>
        <v>0.5653370983963214</v>
      </c>
      <c r="L37" s="792">
        <f t="shared" si="9"/>
        <v>0.5653370983963214</v>
      </c>
      <c r="M37" s="792">
        <f t="shared" si="9"/>
        <v>0.5653370983963214</v>
      </c>
      <c r="N37" s="792">
        <f t="shared" si="9"/>
        <v>0.5653370983963214</v>
      </c>
      <c r="O37" s="792">
        <f t="shared" si="9"/>
        <v>0.5653370983963214</v>
      </c>
      <c r="P37" s="792">
        <f t="shared" si="9"/>
        <v>0.5653370983963214</v>
      </c>
      <c r="Q37" s="792">
        <f>Q35*$U$34/100</f>
        <v>0.5653370983963214</v>
      </c>
      <c r="R37" s="792"/>
      <c r="S37" s="776"/>
      <c r="T37" s="776"/>
      <c r="U37" s="775"/>
    </row>
    <row r="38" spans="1:21" s="769" customFormat="1" ht="8.25" customHeight="1">
      <c r="A38" s="868"/>
      <c r="B38" s="869"/>
      <c r="C38" s="870"/>
      <c r="D38" s="871"/>
      <c r="E38" s="872"/>
      <c r="F38" s="873"/>
      <c r="G38" s="873"/>
      <c r="H38" s="873"/>
      <c r="I38" s="873"/>
      <c r="J38" s="873"/>
      <c r="K38" s="873"/>
      <c r="L38" s="873"/>
      <c r="M38" s="873"/>
      <c r="N38" s="873"/>
      <c r="O38" s="873"/>
      <c r="P38" s="873"/>
      <c r="Q38" s="873"/>
      <c r="R38" s="873"/>
      <c r="S38" s="874"/>
      <c r="T38" s="874"/>
      <c r="U38" s="875"/>
    </row>
    <row r="39" spans="1:21" s="769" customFormat="1" ht="8.25" customHeight="1">
      <c r="A39" s="868"/>
      <c r="B39" s="876"/>
      <c r="C39" s="877"/>
      <c r="D39" s="878"/>
      <c r="E39" s="879"/>
      <c r="F39" s="880"/>
      <c r="G39" s="880"/>
      <c r="H39" s="880"/>
      <c r="I39" s="880"/>
      <c r="J39" s="880"/>
      <c r="K39" s="880"/>
      <c r="L39" s="880"/>
      <c r="M39" s="880"/>
      <c r="N39" s="880"/>
      <c r="O39" s="880"/>
      <c r="P39" s="880"/>
      <c r="Q39" s="880"/>
      <c r="R39" s="880"/>
      <c r="S39" s="881"/>
      <c r="T39" s="881"/>
      <c r="U39" s="882"/>
    </row>
    <row r="40" spans="1:21" s="769" customFormat="1" ht="8.25" customHeight="1">
      <c r="A40" s="868"/>
      <c r="B40" s="876"/>
      <c r="C40" s="877"/>
      <c r="D40" s="878"/>
      <c r="E40" s="879"/>
      <c r="F40" s="880"/>
      <c r="G40" s="880"/>
      <c r="H40" s="880"/>
      <c r="I40" s="880"/>
      <c r="J40" s="880"/>
      <c r="K40" s="880"/>
      <c r="L40" s="880"/>
      <c r="M40" s="880"/>
      <c r="N40" s="880"/>
      <c r="O40" s="880"/>
      <c r="P40" s="880"/>
      <c r="Q40" s="880"/>
      <c r="R40" s="880"/>
      <c r="S40" s="881"/>
      <c r="T40" s="881"/>
      <c r="U40" s="882"/>
    </row>
    <row r="41" spans="1:21" s="769" customFormat="1" ht="8.25" customHeight="1">
      <c r="A41" s="868"/>
      <c r="B41" s="876"/>
      <c r="C41" s="877"/>
      <c r="D41" s="878"/>
      <c r="E41" s="879"/>
      <c r="F41" s="880"/>
      <c r="G41" s="880"/>
      <c r="H41" s="880"/>
      <c r="I41" s="880"/>
      <c r="J41" s="880"/>
      <c r="K41" s="880"/>
      <c r="L41" s="880"/>
      <c r="M41" s="880"/>
      <c r="N41" s="880"/>
      <c r="O41" s="880"/>
      <c r="P41" s="880"/>
      <c r="Q41" s="880"/>
      <c r="R41" s="880"/>
      <c r="S41" s="881"/>
      <c r="T41" s="881"/>
      <c r="U41" s="882"/>
    </row>
    <row r="42" spans="1:21" s="769" customFormat="1" ht="8.25" customHeight="1">
      <c r="A42" s="868"/>
      <c r="B42" s="876"/>
      <c r="C42" s="877"/>
      <c r="D42" s="878"/>
      <c r="E42" s="879"/>
      <c r="F42" s="880"/>
      <c r="G42" s="880"/>
      <c r="H42" s="880"/>
      <c r="I42" s="880"/>
      <c r="J42" s="880"/>
      <c r="K42" s="880"/>
      <c r="L42" s="880"/>
      <c r="M42" s="880"/>
      <c r="N42" s="880"/>
      <c r="O42" s="880"/>
      <c r="P42" s="880"/>
      <c r="Q42" s="880"/>
      <c r="R42" s="880"/>
      <c r="S42" s="881"/>
      <c r="T42" s="881"/>
      <c r="U42" s="882"/>
    </row>
    <row r="43" spans="1:21" s="769" customFormat="1" ht="25.5" customHeight="1">
      <c r="B43" s="784" t="s">
        <v>237</v>
      </c>
      <c r="C43" s="785">
        <v>350</v>
      </c>
      <c r="D43" s="786" t="s">
        <v>199</v>
      </c>
      <c r="E43" s="787" t="s">
        <v>35</v>
      </c>
      <c r="F43" s="788">
        <v>30</v>
      </c>
      <c r="G43" s="788">
        <v>30</v>
      </c>
      <c r="H43" s="788">
        <v>29</v>
      </c>
      <c r="I43" s="788">
        <v>29</v>
      </c>
      <c r="J43" s="788">
        <v>29</v>
      </c>
      <c r="K43" s="788">
        <v>29</v>
      </c>
      <c r="L43" s="788">
        <v>29</v>
      </c>
      <c r="M43" s="788">
        <v>29</v>
      </c>
      <c r="N43" s="788">
        <v>29</v>
      </c>
      <c r="O43" s="788">
        <v>29</v>
      </c>
      <c r="P43" s="788">
        <v>29</v>
      </c>
      <c r="Q43" s="788">
        <v>29</v>
      </c>
      <c r="R43" s="789">
        <f>SUM(F43:Q43)</f>
        <v>350</v>
      </c>
      <c r="S43" s="867">
        <f>'[6]anggaran per KGT'!W83</f>
        <v>59585000</v>
      </c>
      <c r="T43" s="790"/>
      <c r="U43" s="800">
        <f>S43/$S$13*100</f>
        <v>21.738495944895821</v>
      </c>
    </row>
    <row r="44" spans="1:21" s="769" customFormat="1">
      <c r="B44" s="764" t="s">
        <v>66</v>
      </c>
      <c r="C44" s="771"/>
      <c r="D44" s="772"/>
      <c r="E44" s="791"/>
      <c r="F44" s="792">
        <f t="shared" ref="F44:P44" si="10">F43/$C$43*100</f>
        <v>8.5714285714285712</v>
      </c>
      <c r="G44" s="792">
        <f t="shared" si="10"/>
        <v>8.5714285714285712</v>
      </c>
      <c r="H44" s="792">
        <f t="shared" si="10"/>
        <v>8.2857142857142847</v>
      </c>
      <c r="I44" s="792">
        <f t="shared" si="10"/>
        <v>8.2857142857142847</v>
      </c>
      <c r="J44" s="792">
        <f t="shared" si="10"/>
        <v>8.2857142857142847</v>
      </c>
      <c r="K44" s="792">
        <f t="shared" si="10"/>
        <v>8.2857142857142847</v>
      </c>
      <c r="L44" s="792">
        <f t="shared" si="10"/>
        <v>8.2857142857142847</v>
      </c>
      <c r="M44" s="792">
        <f t="shared" si="10"/>
        <v>8.2857142857142847</v>
      </c>
      <c r="N44" s="792">
        <f t="shared" si="10"/>
        <v>8.2857142857142847</v>
      </c>
      <c r="O44" s="792">
        <f t="shared" si="10"/>
        <v>8.2857142857142847</v>
      </c>
      <c r="P44" s="792">
        <f t="shared" si="10"/>
        <v>8.2857142857142847</v>
      </c>
      <c r="Q44" s="792">
        <f>Q43/$C$43*100</f>
        <v>8.2857142857142847</v>
      </c>
      <c r="R44" s="792"/>
      <c r="S44" s="774"/>
      <c r="T44" s="774"/>
      <c r="U44" s="775"/>
    </row>
    <row r="45" spans="1:21" s="769" customFormat="1">
      <c r="B45" s="764" t="s">
        <v>67</v>
      </c>
      <c r="C45" s="771"/>
      <c r="D45" s="772"/>
      <c r="E45" s="791"/>
      <c r="F45" s="792">
        <f>SUM($F$44:F44)</f>
        <v>8.5714285714285712</v>
      </c>
      <c r="G45" s="792">
        <f>SUM($F$44:G44)</f>
        <v>17.142857142857142</v>
      </c>
      <c r="H45" s="792">
        <f>SUM($F$44:H44)</f>
        <v>25.428571428571427</v>
      </c>
      <c r="I45" s="792">
        <f>SUM($F$44:I44)</f>
        <v>33.714285714285708</v>
      </c>
      <c r="J45" s="792">
        <f>SUM($F$44:J44)</f>
        <v>41.999999999999993</v>
      </c>
      <c r="K45" s="792">
        <f>SUM($F$44:K44)</f>
        <v>50.285714285714278</v>
      </c>
      <c r="L45" s="792">
        <f>SUM($F$44:L44)</f>
        <v>58.571428571428562</v>
      </c>
      <c r="M45" s="792">
        <f>SUM($F$44:M44)</f>
        <v>66.857142857142847</v>
      </c>
      <c r="N45" s="792">
        <f>SUM($F$44:N44)</f>
        <v>75.142857142857139</v>
      </c>
      <c r="O45" s="792">
        <f>SUM($F$44:O44)</f>
        <v>83.428571428571416</v>
      </c>
      <c r="P45" s="792">
        <f>SUM($F$44:P44)</f>
        <v>91.714285714285694</v>
      </c>
      <c r="Q45" s="792">
        <f>SUM($F$44:Q44)</f>
        <v>99.999999999999972</v>
      </c>
      <c r="R45" s="792"/>
      <c r="S45" s="776"/>
      <c r="T45" s="776"/>
      <c r="U45" s="775"/>
    </row>
    <row r="46" spans="1:21" s="769" customFormat="1">
      <c r="B46" s="764" t="s">
        <v>68</v>
      </c>
      <c r="C46" s="771"/>
      <c r="D46" s="772"/>
      <c r="E46" s="791"/>
      <c r="F46" s="792">
        <f t="shared" ref="F46:P46" si="11">F44*$U$43/100</f>
        <v>1.8632996524196417</v>
      </c>
      <c r="G46" s="792">
        <f t="shared" si="11"/>
        <v>1.8632996524196417</v>
      </c>
      <c r="H46" s="792">
        <f t="shared" si="11"/>
        <v>1.8011896640056535</v>
      </c>
      <c r="I46" s="792">
        <f t="shared" si="11"/>
        <v>1.8011896640056535</v>
      </c>
      <c r="J46" s="792">
        <f t="shared" si="11"/>
        <v>1.8011896640056535</v>
      </c>
      <c r="K46" s="792">
        <f t="shared" si="11"/>
        <v>1.8011896640056535</v>
      </c>
      <c r="L46" s="792">
        <f t="shared" si="11"/>
        <v>1.8011896640056535</v>
      </c>
      <c r="M46" s="792">
        <f t="shared" si="11"/>
        <v>1.8011896640056535</v>
      </c>
      <c r="N46" s="792">
        <f t="shared" si="11"/>
        <v>1.8011896640056535</v>
      </c>
      <c r="O46" s="792">
        <f t="shared" si="11"/>
        <v>1.8011896640056535</v>
      </c>
      <c r="P46" s="792">
        <f t="shared" si="11"/>
        <v>1.8011896640056535</v>
      </c>
      <c r="Q46" s="792">
        <f>Q44*$U$43/100</f>
        <v>1.8011896640056535</v>
      </c>
      <c r="R46" s="792"/>
      <c r="S46" s="776"/>
      <c r="T46" s="776"/>
      <c r="U46" s="775"/>
    </row>
    <row r="47" spans="1:21" s="769" customFormat="1" ht="8.25" customHeight="1">
      <c r="B47" s="793"/>
      <c r="C47" s="806"/>
      <c r="D47" s="807"/>
      <c r="E47" s="791"/>
      <c r="F47" s="791"/>
      <c r="G47" s="791"/>
      <c r="H47" s="791"/>
      <c r="I47" s="791"/>
      <c r="J47" s="791"/>
      <c r="K47" s="791"/>
      <c r="L47" s="791"/>
      <c r="M47" s="791"/>
      <c r="N47" s="791"/>
      <c r="O47" s="791"/>
      <c r="P47" s="791"/>
      <c r="Q47" s="791"/>
      <c r="R47" s="791"/>
      <c r="S47" s="782"/>
      <c r="T47" s="776"/>
      <c r="U47" s="775"/>
    </row>
    <row r="48" spans="1:21" s="769" customFormat="1">
      <c r="B48" s="883" t="s">
        <v>238</v>
      </c>
      <c r="C48" s="785">
        <v>2</v>
      </c>
      <c r="D48" s="786" t="s">
        <v>202</v>
      </c>
      <c r="E48" s="787" t="s">
        <v>239</v>
      </c>
      <c r="F48" s="788"/>
      <c r="G48" s="884">
        <f>0.75/3</f>
        <v>0.25</v>
      </c>
      <c r="H48" s="884">
        <f>0.75/3</f>
        <v>0.25</v>
      </c>
      <c r="I48" s="884">
        <f>0.75/3</f>
        <v>0.25</v>
      </c>
      <c r="J48" s="884">
        <f>0.75/3</f>
        <v>0.25</v>
      </c>
      <c r="K48" s="884">
        <f>0.75/3</f>
        <v>0.25</v>
      </c>
      <c r="L48" s="884">
        <v>0.5</v>
      </c>
      <c r="M48" s="884">
        <v>0.25</v>
      </c>
      <c r="N48" s="788"/>
      <c r="O48" s="788"/>
      <c r="P48" s="788"/>
      <c r="Q48" s="885"/>
      <c r="R48" s="886">
        <f>SUM(F48:Q48)</f>
        <v>2</v>
      </c>
      <c r="S48" s="867">
        <f>'[6]anggaran per KGT'!W105</f>
        <v>136134000</v>
      </c>
      <c r="T48" s="790"/>
      <c r="U48" s="800">
        <f>S48/$S$13*100</f>
        <v>49.665996592472062</v>
      </c>
    </row>
    <row r="49" spans="2:21" s="769" customFormat="1">
      <c r="B49" s="764" t="s">
        <v>66</v>
      </c>
      <c r="C49" s="771"/>
      <c r="D49" s="772"/>
      <c r="E49" s="791"/>
      <c r="F49" s="792">
        <f t="shared" ref="F49:P49" si="12">F48/$C$48*100</f>
        <v>0</v>
      </c>
      <c r="G49" s="792">
        <f t="shared" si="12"/>
        <v>12.5</v>
      </c>
      <c r="H49" s="792">
        <f t="shared" si="12"/>
        <v>12.5</v>
      </c>
      <c r="I49" s="792">
        <f t="shared" si="12"/>
        <v>12.5</v>
      </c>
      <c r="J49" s="792">
        <f t="shared" si="12"/>
        <v>12.5</v>
      </c>
      <c r="K49" s="792">
        <f t="shared" si="12"/>
        <v>12.5</v>
      </c>
      <c r="L49" s="792">
        <f t="shared" si="12"/>
        <v>25</v>
      </c>
      <c r="M49" s="792">
        <f t="shared" si="12"/>
        <v>12.5</v>
      </c>
      <c r="N49" s="792">
        <f t="shared" si="12"/>
        <v>0</v>
      </c>
      <c r="O49" s="792">
        <f t="shared" si="12"/>
        <v>0</v>
      </c>
      <c r="P49" s="792">
        <f t="shared" si="12"/>
        <v>0</v>
      </c>
      <c r="Q49" s="792">
        <f>Q48/$C$48*100</f>
        <v>0</v>
      </c>
      <c r="R49" s="792"/>
      <c r="S49" s="774"/>
      <c r="T49" s="774"/>
      <c r="U49" s="775"/>
    </row>
    <row r="50" spans="2:21" s="769" customFormat="1">
      <c r="B50" s="764" t="s">
        <v>67</v>
      </c>
      <c r="C50" s="771"/>
      <c r="D50" s="772"/>
      <c r="E50" s="791"/>
      <c r="F50" s="792">
        <f>SUM($F$49:F49)</f>
        <v>0</v>
      </c>
      <c r="G50" s="792">
        <f>SUM($F$49:G49)</f>
        <v>12.5</v>
      </c>
      <c r="H50" s="792">
        <f>SUM($F$49:H49)</f>
        <v>25</v>
      </c>
      <c r="I50" s="792">
        <f>SUM($F$49:I49)</f>
        <v>37.5</v>
      </c>
      <c r="J50" s="792">
        <f>SUM($F$49:J49)</f>
        <v>50</v>
      </c>
      <c r="K50" s="792">
        <f>SUM($F$49:K49)</f>
        <v>62.5</v>
      </c>
      <c r="L50" s="792">
        <f>SUM($F$49:L49)</f>
        <v>87.5</v>
      </c>
      <c r="M50" s="792">
        <f>SUM($F$49:M49)</f>
        <v>100</v>
      </c>
      <c r="N50" s="792">
        <f>SUM($F$49:N49)</f>
        <v>100</v>
      </c>
      <c r="O50" s="792">
        <f>SUM($F$49:O49)</f>
        <v>100</v>
      </c>
      <c r="P50" s="792">
        <f>SUM($F$49:P49)</f>
        <v>100</v>
      </c>
      <c r="Q50" s="792">
        <f>SUM($F$49:Q49)</f>
        <v>100</v>
      </c>
      <c r="R50" s="792"/>
      <c r="S50" s="776"/>
      <c r="T50" s="776"/>
      <c r="U50" s="775"/>
    </row>
    <row r="51" spans="2:21" s="769" customFormat="1">
      <c r="B51" s="764" t="s">
        <v>68</v>
      </c>
      <c r="C51" s="771"/>
      <c r="D51" s="772"/>
      <c r="E51" s="791"/>
      <c r="F51" s="792">
        <f t="shared" ref="F51:P51" si="13">F49*$U$48/100</f>
        <v>0</v>
      </c>
      <c r="G51" s="792">
        <f t="shared" si="13"/>
        <v>6.2082495740590078</v>
      </c>
      <c r="H51" s="792">
        <f t="shared" si="13"/>
        <v>6.2082495740590078</v>
      </c>
      <c r="I51" s="792">
        <f t="shared" si="13"/>
        <v>6.2082495740590078</v>
      </c>
      <c r="J51" s="792">
        <f t="shared" si="13"/>
        <v>6.2082495740590078</v>
      </c>
      <c r="K51" s="792">
        <f t="shared" si="13"/>
        <v>6.2082495740590078</v>
      </c>
      <c r="L51" s="792">
        <f t="shared" si="13"/>
        <v>12.416499148118016</v>
      </c>
      <c r="M51" s="792">
        <f t="shared" si="13"/>
        <v>6.2082495740590078</v>
      </c>
      <c r="N51" s="792">
        <f t="shared" si="13"/>
        <v>0</v>
      </c>
      <c r="O51" s="792">
        <f t="shared" si="13"/>
        <v>0</v>
      </c>
      <c r="P51" s="792">
        <f t="shared" si="13"/>
        <v>0</v>
      </c>
      <c r="Q51" s="792">
        <f>Q49*$U$48/100</f>
        <v>0</v>
      </c>
      <c r="R51" s="792"/>
      <c r="S51" s="776"/>
      <c r="T51" s="776"/>
      <c r="U51" s="775"/>
    </row>
    <row r="52" spans="2:21" ht="8.25" customHeight="1">
      <c r="B52" s="808"/>
      <c r="C52" s="809"/>
      <c r="D52" s="810"/>
      <c r="E52" s="811"/>
      <c r="F52" s="812"/>
      <c r="G52" s="812"/>
      <c r="H52" s="812"/>
      <c r="I52" s="812"/>
      <c r="J52" s="812"/>
      <c r="K52" s="812"/>
      <c r="L52" s="812"/>
      <c r="M52" s="812"/>
      <c r="N52" s="812"/>
      <c r="O52" s="812"/>
      <c r="P52" s="812"/>
      <c r="Q52" s="812"/>
      <c r="R52" s="812"/>
      <c r="S52" s="813"/>
      <c r="T52" s="813"/>
      <c r="U52" s="814">
        <f>S52/S13*100</f>
        <v>0</v>
      </c>
    </row>
    <row r="53" spans="2:21">
      <c r="B53" s="887"/>
      <c r="C53" s="888"/>
      <c r="D53" s="889"/>
      <c r="E53" s="889"/>
      <c r="F53" s="890"/>
      <c r="G53" s="890"/>
      <c r="H53" s="890"/>
      <c r="I53" s="890"/>
      <c r="J53" s="890"/>
      <c r="K53" s="890"/>
      <c r="L53" s="890"/>
      <c r="M53" s="890"/>
      <c r="N53" s="890"/>
      <c r="O53" s="890"/>
      <c r="P53" s="890"/>
      <c r="Q53" s="890"/>
      <c r="R53" s="890"/>
      <c r="S53" s="891"/>
      <c r="T53" s="891"/>
      <c r="U53" s="814"/>
    </row>
    <row r="54" spans="2:21" ht="13.5" thickBot="1">
      <c r="B54" s="815" t="s">
        <v>41</v>
      </c>
      <c r="C54" s="816"/>
      <c r="D54" s="817"/>
      <c r="E54" s="818"/>
      <c r="F54" s="819">
        <f t="shared" ref="F54:Q54" si="14">F27+F17+F22+F32+F37+F46+F51</f>
        <v>3.3052360817146527</v>
      </c>
      <c r="G54" s="819">
        <f t="shared" si="14"/>
        <v>10.642712686882859</v>
      </c>
      <c r="H54" s="819">
        <f t="shared" si="14"/>
        <v>10.580602698468869</v>
      </c>
      <c r="I54" s="819">
        <f t="shared" si="14"/>
        <v>10.580602698468869</v>
      </c>
      <c r="J54" s="819">
        <f t="shared" si="14"/>
        <v>9.4513756673596721</v>
      </c>
      <c r="K54" s="819">
        <f t="shared" si="14"/>
        <v>10.580602698468869</v>
      </c>
      <c r="L54" s="819">
        <f t="shared" si="14"/>
        <v>16.788852272527876</v>
      </c>
      <c r="M54" s="819">
        <f t="shared" si="14"/>
        <v>10.580602698468869</v>
      </c>
      <c r="N54" s="819">
        <f t="shared" si="14"/>
        <v>4.3723531244098623</v>
      </c>
      <c r="O54" s="819">
        <f t="shared" si="14"/>
        <v>4.3723531244098623</v>
      </c>
      <c r="P54" s="819">
        <f t="shared" si="14"/>
        <v>4.3723531244098623</v>
      </c>
      <c r="Q54" s="819">
        <f t="shared" si="14"/>
        <v>4.3723531244098623</v>
      </c>
      <c r="R54" s="819"/>
      <c r="S54" s="820"/>
      <c r="T54" s="820"/>
      <c r="U54" s="821"/>
    </row>
    <row r="55" spans="2:21" ht="14.25" thickTop="1" thickBot="1">
      <c r="B55" s="822" t="s">
        <v>42</v>
      </c>
      <c r="C55" s="420"/>
      <c r="D55" s="420"/>
      <c r="E55" s="421"/>
      <c r="F55" s="823">
        <f>SUM($F$54:F54)</f>
        <v>3.3052360817146527</v>
      </c>
      <c r="G55" s="823">
        <f>SUM($F$54:G54)</f>
        <v>13.947948768597513</v>
      </c>
      <c r="H55" s="823">
        <f>SUM($F$54:H54)</f>
        <v>24.528551467066382</v>
      </c>
      <c r="I55" s="823">
        <f>SUM($F$54:I54)</f>
        <v>35.109154165535251</v>
      </c>
      <c r="J55" s="823">
        <f>SUM($F$54:J54)</f>
        <v>44.560529832894922</v>
      </c>
      <c r="K55" s="823">
        <f>SUM($F$54:K54)</f>
        <v>55.141132531363795</v>
      </c>
      <c r="L55" s="823">
        <f>SUM($F$54:L54)</f>
        <v>71.929984803891671</v>
      </c>
      <c r="M55" s="823">
        <f>SUM($F$54:M54)</f>
        <v>82.510587502360536</v>
      </c>
      <c r="N55" s="823">
        <f>SUM($F$54:N54)</f>
        <v>86.882940626770392</v>
      </c>
      <c r="O55" s="823">
        <f>SUM($F$54:O54)</f>
        <v>91.255293751180261</v>
      </c>
      <c r="P55" s="823">
        <f>SUM($F$54:P54)</f>
        <v>95.627646875590131</v>
      </c>
      <c r="Q55" s="824">
        <f>SUM($F$54:Q54)</f>
        <v>100</v>
      </c>
      <c r="R55" s="824"/>
      <c r="S55" s="421"/>
      <c r="T55" s="421"/>
      <c r="U55" s="826"/>
    </row>
    <row r="56" spans="2:21">
      <c r="B56" s="611"/>
      <c r="C56" s="606"/>
      <c r="D56" s="606"/>
      <c r="E56" s="606"/>
      <c r="F56" s="610"/>
      <c r="G56" s="610"/>
      <c r="H56" s="610"/>
      <c r="I56" s="610"/>
      <c r="J56" s="610"/>
      <c r="K56" s="610"/>
      <c r="L56" s="610"/>
      <c r="M56" s="610"/>
      <c r="N56" s="610"/>
      <c r="O56" s="610"/>
      <c r="P56" s="610"/>
      <c r="Q56" s="609"/>
      <c r="R56" s="609"/>
      <c r="S56" s="606"/>
      <c r="T56" s="606"/>
      <c r="U56" s="828"/>
    </row>
    <row r="57" spans="2:21" ht="15">
      <c r="B57" s="241"/>
      <c r="C57" s="241"/>
      <c r="D57" s="241"/>
      <c r="E57" s="241"/>
      <c r="F57" s="241"/>
      <c r="G57" s="241"/>
      <c r="H57" s="241"/>
      <c r="I57" s="241"/>
      <c r="J57" s="241"/>
      <c r="L57" s="241"/>
      <c r="M57" s="241"/>
      <c r="N57" s="241"/>
      <c r="O57" s="241"/>
      <c r="P57" s="241"/>
      <c r="Q57" s="892" t="s">
        <v>43</v>
      </c>
      <c r="R57" s="892"/>
    </row>
    <row r="58" spans="2:21" ht="15">
      <c r="B58" s="240" t="s">
        <v>98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1"/>
      <c r="U58" s="831"/>
    </row>
    <row r="59" spans="2:21" ht="15">
      <c r="B59" s="240" t="s">
        <v>99</v>
      </c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N59" s="240"/>
      <c r="O59" s="240"/>
      <c r="P59" s="240"/>
      <c r="Q59" s="240"/>
    </row>
    <row r="60" spans="2:21" ht="15">
      <c r="B60" s="240" t="s">
        <v>56</v>
      </c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893"/>
      <c r="N60" s="240"/>
      <c r="O60" s="240"/>
      <c r="P60" s="240"/>
      <c r="Q60" s="240"/>
      <c r="S60" s="894" t="s">
        <v>225</v>
      </c>
      <c r="U60" s="831"/>
    </row>
    <row r="61" spans="2:21" ht="15">
      <c r="B61" s="240" t="s">
        <v>100</v>
      </c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893"/>
      <c r="N61" s="240"/>
      <c r="O61" s="240"/>
      <c r="P61" s="240"/>
      <c r="Q61" s="240"/>
      <c r="S61" s="241"/>
      <c r="U61" s="831"/>
    </row>
    <row r="62" spans="2:21" ht="15"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893"/>
      <c r="N62" s="240"/>
      <c r="O62" s="240"/>
      <c r="P62" s="240"/>
      <c r="Q62" s="240"/>
      <c r="S62" s="241"/>
      <c r="U62" s="831"/>
    </row>
    <row r="63" spans="2:21" ht="15"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893"/>
      <c r="N63" s="240"/>
      <c r="O63" s="240"/>
      <c r="P63" s="240"/>
      <c r="Q63" s="240"/>
      <c r="S63" s="241"/>
      <c r="U63" s="831"/>
    </row>
    <row r="64" spans="2:21" ht="14.25">
      <c r="B64" s="245" t="s">
        <v>192</v>
      </c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N64" s="245"/>
      <c r="O64" s="245"/>
      <c r="P64" s="895"/>
      <c r="Q64" s="895"/>
      <c r="S64" s="896" t="s">
        <v>240</v>
      </c>
      <c r="T64" s="895"/>
      <c r="U64" s="895"/>
    </row>
    <row r="65" spans="2:21" ht="15">
      <c r="B65" s="240" t="s">
        <v>49</v>
      </c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N65" s="240"/>
      <c r="O65" s="240"/>
      <c r="P65" s="897"/>
      <c r="Q65" s="897"/>
      <c r="S65" s="898" t="s">
        <v>241</v>
      </c>
      <c r="T65" s="897"/>
      <c r="U65" s="897"/>
    </row>
    <row r="66" spans="2:21">
      <c r="B66" s="589"/>
      <c r="C66" s="589"/>
      <c r="D66" s="589"/>
      <c r="E66" s="589"/>
      <c r="F66" s="589"/>
      <c r="G66" s="589"/>
      <c r="H66" s="589"/>
      <c r="I66" s="589"/>
      <c r="J66" s="589"/>
      <c r="K66" s="589"/>
      <c r="L66" s="589"/>
      <c r="M66" s="589"/>
      <c r="N66" s="589"/>
      <c r="O66" s="589"/>
      <c r="P66" s="589"/>
      <c r="Q66" s="589"/>
      <c r="S66" s="590"/>
      <c r="T66" s="590"/>
      <c r="U66" s="719"/>
    </row>
  </sheetData>
  <mergeCells count="15">
    <mergeCell ref="I9:K9"/>
    <mergeCell ref="L9:N9"/>
    <mergeCell ref="O9:Q9"/>
    <mergeCell ref="C12:D12"/>
    <mergeCell ref="C54:D54"/>
    <mergeCell ref="B1:U1"/>
    <mergeCell ref="B2:U2"/>
    <mergeCell ref="D6:E6"/>
    <mergeCell ref="B8:B11"/>
    <mergeCell ref="C8:D11"/>
    <mergeCell ref="E8:E11"/>
    <mergeCell ref="F8:Q8"/>
    <mergeCell ref="S8:S10"/>
    <mergeCell ref="T8:T10"/>
    <mergeCell ref="F9:H9"/>
  </mergeCells>
  <printOptions horizontalCentered="1"/>
  <pageMargins left="0.39370078740157483" right="0.35433070866141736" top="0.74803149606299213" bottom="0.59055118110236227" header="0.31496062992125984" footer="0.23622047244094491"/>
  <pageSetup paperSize="121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59"/>
  <sheetViews>
    <sheetView workbookViewId="0">
      <selection activeCell="G21" sqref="G21"/>
    </sheetView>
  </sheetViews>
  <sheetFormatPr defaultRowHeight="12.75"/>
  <cols>
    <col min="1" max="1" width="0.5703125" style="444" customWidth="1"/>
    <col min="2" max="2" width="34.140625" style="444" customWidth="1"/>
    <col min="3" max="3" width="6.28515625" style="444" customWidth="1"/>
    <col min="4" max="4" width="9.5703125" style="444" customWidth="1"/>
    <col min="5" max="5" width="8.5703125" style="444" customWidth="1"/>
    <col min="6" max="6" width="6.85546875" style="444" customWidth="1"/>
    <col min="7" max="7" width="8" style="444" customWidth="1"/>
    <col min="8" max="8" width="7.140625" style="444" bestFit="1" customWidth="1"/>
    <col min="9" max="9" width="8.140625" style="444" bestFit="1" customWidth="1"/>
    <col min="10" max="12" width="7.140625" style="444" bestFit="1" customWidth="1"/>
    <col min="13" max="14" width="7.7109375" style="444" bestFit="1" customWidth="1"/>
    <col min="15" max="15" width="8.140625" style="444" bestFit="1" customWidth="1"/>
    <col min="16" max="17" width="7.7109375" style="444" bestFit="1" customWidth="1"/>
    <col min="18" max="18" width="17.28515625" style="444" customWidth="1"/>
    <col min="19" max="19" width="8.140625" style="444" customWidth="1"/>
    <col min="20" max="20" width="11" style="444" customWidth="1"/>
    <col min="21" max="21" width="4.7109375" style="572" hidden="1" customWidth="1"/>
    <col min="22" max="22" width="5" style="444" hidden="1" customWidth="1"/>
    <col min="23" max="23" width="9.7109375" style="444" hidden="1" customWidth="1"/>
    <col min="24" max="24" width="8.28515625" style="444" hidden="1" customWidth="1"/>
    <col min="25" max="25" width="14.85546875" style="444" hidden="1" customWidth="1"/>
    <col min="26" max="27" width="11.140625" style="444" hidden="1" customWidth="1"/>
    <col min="28" max="28" width="17.140625" style="444" hidden="1" customWidth="1"/>
    <col min="29" max="29" width="9.140625" style="444"/>
    <col min="30" max="30" width="11.85546875" style="444" customWidth="1"/>
    <col min="31" max="16384" width="9.140625" style="444"/>
  </cols>
  <sheetData>
    <row r="1" spans="2:28" ht="15.75">
      <c r="B1" s="899" t="s">
        <v>115</v>
      </c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  <c r="X1" s="899"/>
      <c r="Y1" s="899"/>
      <c r="Z1" s="899"/>
      <c r="AA1" s="899"/>
      <c r="AB1" s="899"/>
    </row>
    <row r="2" spans="2:28" ht="15.75">
      <c r="B2" s="899" t="s">
        <v>242</v>
      </c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899"/>
      <c r="P2" s="899"/>
      <c r="Q2" s="899"/>
      <c r="R2" s="899"/>
      <c r="S2" s="899"/>
      <c r="T2" s="899"/>
      <c r="U2" s="899"/>
      <c r="V2" s="899"/>
      <c r="W2" s="899"/>
      <c r="X2" s="899"/>
      <c r="Y2" s="899"/>
      <c r="Z2" s="899"/>
      <c r="AA2" s="899"/>
      <c r="AB2" s="899"/>
    </row>
    <row r="3" spans="2:28" ht="8.25" customHeight="1"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273"/>
      <c r="V3" s="706"/>
      <c r="W3" s="706"/>
      <c r="X3" s="706"/>
      <c r="Y3" s="706"/>
      <c r="Z3" s="706"/>
      <c r="AA3" s="706"/>
      <c r="AB3" s="706"/>
    </row>
    <row r="4" spans="2:28" ht="15">
      <c r="B4" s="241" t="s">
        <v>2</v>
      </c>
      <c r="C4" s="241" t="s">
        <v>243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T4" s="589"/>
      <c r="U4" s="591"/>
      <c r="V4" s="589"/>
      <c r="W4" s="589"/>
      <c r="X4" s="589"/>
      <c r="Y4" s="589"/>
      <c r="Z4" s="706"/>
      <c r="AA4" s="706"/>
      <c r="AB4" s="706"/>
    </row>
    <row r="5" spans="2:28" ht="15">
      <c r="B5" s="241" t="s">
        <v>117</v>
      </c>
      <c r="C5" s="900" t="s">
        <v>244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T5" s="589"/>
      <c r="U5" s="591"/>
      <c r="V5" s="589"/>
      <c r="W5" s="589"/>
      <c r="X5" s="589"/>
      <c r="Y5" s="589"/>
      <c r="Z5" s="706"/>
      <c r="AA5" s="706"/>
      <c r="AB5" s="706"/>
    </row>
    <row r="6" spans="2:28" ht="15">
      <c r="B6" s="241" t="s">
        <v>119</v>
      </c>
      <c r="C6" s="900" t="s">
        <v>245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T6" s="589"/>
      <c r="U6" s="591"/>
      <c r="V6" s="589"/>
      <c r="W6" s="589"/>
      <c r="X6" s="589"/>
      <c r="Y6" s="589"/>
      <c r="Z6" s="706"/>
      <c r="AA6" s="706"/>
      <c r="AB6" s="706"/>
    </row>
    <row r="7" spans="2:28" ht="15">
      <c r="B7" s="241" t="s">
        <v>7</v>
      </c>
      <c r="C7" s="901">
        <f>R15</f>
        <v>112621000</v>
      </c>
      <c r="D7" s="901"/>
      <c r="E7" s="901"/>
      <c r="F7" s="721"/>
      <c r="G7" s="721"/>
      <c r="H7" s="721"/>
      <c r="I7" s="721"/>
      <c r="J7" s="721"/>
      <c r="K7" s="721"/>
      <c r="L7" s="721"/>
      <c r="M7" s="721"/>
      <c r="N7" s="721"/>
      <c r="O7" s="721"/>
      <c r="P7" s="721"/>
      <c r="Q7" s="721"/>
      <c r="U7" s="591"/>
      <c r="V7" s="606"/>
      <c r="W7" s="606"/>
      <c r="X7" s="589"/>
      <c r="Y7" s="589"/>
      <c r="Z7" s="706"/>
      <c r="AA7" s="706"/>
      <c r="AB7" s="706"/>
    </row>
    <row r="8" spans="2:28" ht="6" customHeight="1" thickBot="1"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91"/>
      <c r="V8" s="589"/>
      <c r="W8" s="589"/>
      <c r="X8" s="589"/>
      <c r="Y8" s="589"/>
      <c r="Z8" s="706"/>
      <c r="AA8" s="706"/>
      <c r="AB8" s="706"/>
    </row>
    <row r="9" spans="2:28" ht="15" customHeight="1" thickTop="1">
      <c r="B9" s="840" t="s">
        <v>129</v>
      </c>
      <c r="C9" s="841" t="s">
        <v>9</v>
      </c>
      <c r="D9" s="842"/>
      <c r="E9" s="843" t="s">
        <v>10</v>
      </c>
      <c r="F9" s="844" t="s">
        <v>11</v>
      </c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6"/>
      <c r="R9" s="843" t="s">
        <v>7</v>
      </c>
      <c r="S9" s="843" t="s">
        <v>12</v>
      </c>
      <c r="T9" s="902" t="s">
        <v>13</v>
      </c>
      <c r="U9" s="903" t="s">
        <v>130</v>
      </c>
      <c r="V9" s="903"/>
      <c r="W9" s="903"/>
      <c r="X9" s="904"/>
      <c r="Y9" s="905" t="s">
        <v>131</v>
      </c>
      <c r="Z9" s="903"/>
      <c r="AA9" s="904"/>
      <c r="AB9" s="906"/>
    </row>
    <row r="10" spans="2:28">
      <c r="B10" s="849"/>
      <c r="C10" s="850"/>
      <c r="D10" s="851"/>
      <c r="E10" s="852"/>
      <c r="F10" s="853" t="s">
        <v>14</v>
      </c>
      <c r="G10" s="854"/>
      <c r="H10" s="855"/>
      <c r="I10" s="853" t="s">
        <v>15</v>
      </c>
      <c r="J10" s="854"/>
      <c r="K10" s="855"/>
      <c r="L10" s="853" t="s">
        <v>16</v>
      </c>
      <c r="M10" s="854"/>
      <c r="N10" s="855"/>
      <c r="O10" s="853" t="s">
        <v>17</v>
      </c>
      <c r="P10" s="854"/>
      <c r="Q10" s="855"/>
      <c r="R10" s="852"/>
      <c r="S10" s="852"/>
      <c r="T10" s="907"/>
      <c r="U10" s="908" t="s">
        <v>132</v>
      </c>
      <c r="V10" s="909"/>
      <c r="W10" s="910" t="s">
        <v>133</v>
      </c>
      <c r="X10" s="910" t="s">
        <v>134</v>
      </c>
      <c r="Y10" s="910" t="s">
        <v>133</v>
      </c>
      <c r="Z10" s="910" t="s">
        <v>135</v>
      </c>
      <c r="AA10" s="910" t="s">
        <v>136</v>
      </c>
      <c r="AB10" s="911" t="s">
        <v>137</v>
      </c>
    </row>
    <row r="11" spans="2:28">
      <c r="B11" s="849"/>
      <c r="C11" s="850"/>
      <c r="D11" s="851"/>
      <c r="E11" s="852"/>
      <c r="F11" s="858" t="s">
        <v>19</v>
      </c>
      <c r="G11" s="858" t="s">
        <v>20</v>
      </c>
      <c r="H11" s="858" t="s">
        <v>21</v>
      </c>
      <c r="I11" s="858" t="s">
        <v>22</v>
      </c>
      <c r="J11" s="858" t="s">
        <v>23</v>
      </c>
      <c r="K11" s="858" t="s">
        <v>24</v>
      </c>
      <c r="L11" s="858" t="s">
        <v>25</v>
      </c>
      <c r="M11" s="858" t="s">
        <v>26</v>
      </c>
      <c r="N11" s="858" t="s">
        <v>27</v>
      </c>
      <c r="O11" s="858" t="s">
        <v>28</v>
      </c>
      <c r="P11" s="858" t="s">
        <v>29</v>
      </c>
      <c r="Q11" s="858" t="s">
        <v>30</v>
      </c>
      <c r="R11" s="852"/>
      <c r="S11" s="852"/>
      <c r="T11" s="907" t="s">
        <v>246</v>
      </c>
      <c r="U11" s="912" t="s">
        <v>139</v>
      </c>
      <c r="V11" s="913"/>
      <c r="W11" s="910" t="s">
        <v>140</v>
      </c>
      <c r="X11" s="910" t="s">
        <v>141</v>
      </c>
      <c r="Y11" s="910" t="s">
        <v>142</v>
      </c>
      <c r="Z11" s="910" t="s">
        <v>143</v>
      </c>
      <c r="AA11" s="910" t="s">
        <v>141</v>
      </c>
      <c r="AB11" s="911" t="s">
        <v>144</v>
      </c>
    </row>
    <row r="12" spans="2:28">
      <c r="B12" s="859"/>
      <c r="C12" s="860"/>
      <c r="D12" s="861"/>
      <c r="E12" s="862"/>
      <c r="F12" s="858"/>
      <c r="G12" s="858"/>
      <c r="H12" s="858"/>
      <c r="I12" s="858"/>
      <c r="J12" s="858"/>
      <c r="K12" s="858"/>
      <c r="L12" s="858"/>
      <c r="M12" s="858"/>
      <c r="N12" s="858"/>
      <c r="O12" s="858"/>
      <c r="P12" s="858"/>
      <c r="Q12" s="858"/>
      <c r="R12" s="863" t="s">
        <v>31</v>
      </c>
      <c r="S12" s="863" t="s">
        <v>31</v>
      </c>
      <c r="T12" s="907" t="s">
        <v>32</v>
      </c>
      <c r="U12" s="611"/>
      <c r="V12" s="914"/>
      <c r="W12" s="910" t="s">
        <v>32</v>
      </c>
      <c r="X12" s="910" t="s">
        <v>32</v>
      </c>
      <c r="Y12" s="910" t="s">
        <v>31</v>
      </c>
      <c r="Z12" s="910" t="s">
        <v>32</v>
      </c>
      <c r="AA12" s="910" t="s">
        <v>32</v>
      </c>
      <c r="AB12" s="911"/>
    </row>
    <row r="13" spans="2:28" s="921" customFormat="1" ht="12" customHeight="1">
      <c r="B13" s="746">
        <v>1</v>
      </c>
      <c r="C13" s="747">
        <v>2</v>
      </c>
      <c r="D13" s="748"/>
      <c r="E13" s="749">
        <v>3</v>
      </c>
      <c r="F13" s="749">
        <v>4</v>
      </c>
      <c r="G13" s="749">
        <v>5</v>
      </c>
      <c r="H13" s="749">
        <v>6</v>
      </c>
      <c r="I13" s="749">
        <v>7</v>
      </c>
      <c r="J13" s="749">
        <v>8</v>
      </c>
      <c r="K13" s="749">
        <v>9</v>
      </c>
      <c r="L13" s="749">
        <v>10</v>
      </c>
      <c r="M13" s="749">
        <v>11</v>
      </c>
      <c r="N13" s="749">
        <v>12</v>
      </c>
      <c r="O13" s="749">
        <v>13</v>
      </c>
      <c r="P13" s="749">
        <v>14</v>
      </c>
      <c r="Q13" s="749">
        <v>15</v>
      </c>
      <c r="R13" s="915">
        <v>16</v>
      </c>
      <c r="S13" s="750">
        <v>17</v>
      </c>
      <c r="T13" s="916">
        <v>18</v>
      </c>
      <c r="U13" s="917">
        <v>7</v>
      </c>
      <c r="V13" s="918"/>
      <c r="W13" s="919">
        <v>8</v>
      </c>
      <c r="X13" s="919">
        <v>9</v>
      </c>
      <c r="Y13" s="919">
        <v>10</v>
      </c>
      <c r="Z13" s="919">
        <v>11</v>
      </c>
      <c r="AA13" s="919">
        <v>12</v>
      </c>
      <c r="AB13" s="920">
        <v>13</v>
      </c>
    </row>
    <row r="14" spans="2:28" ht="6" customHeight="1">
      <c r="B14" s="922"/>
      <c r="C14" s="923"/>
      <c r="D14" s="924"/>
      <c r="E14" s="924"/>
      <c r="F14" s="924"/>
      <c r="G14" s="924"/>
      <c r="H14" s="924"/>
      <c r="I14" s="924"/>
      <c r="J14" s="924"/>
      <c r="K14" s="924"/>
      <c r="L14" s="924"/>
      <c r="M14" s="924"/>
      <c r="N14" s="924"/>
      <c r="O14" s="924"/>
      <c r="P14" s="924"/>
      <c r="Q14" s="924"/>
      <c r="R14" s="925"/>
      <c r="S14" s="926"/>
      <c r="T14" s="927"/>
      <c r="U14" s="611"/>
      <c r="V14" s="924"/>
      <c r="W14" s="926"/>
      <c r="X14" s="926"/>
      <c r="Y14" s="926"/>
      <c r="Z14" s="926"/>
      <c r="AA14" s="926"/>
      <c r="AB14" s="928"/>
    </row>
    <row r="15" spans="2:28">
      <c r="B15" s="332" t="s">
        <v>247</v>
      </c>
      <c r="C15" s="765"/>
      <c r="D15" s="755"/>
      <c r="E15" s="755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6">
        <f>R16+R21+R26+R31+R36+R41+R47</f>
        <v>112621000</v>
      </c>
      <c r="S15" s="336"/>
      <c r="T15" s="337">
        <f>T16+T21+T26+T31+T36+T41</f>
        <v>100</v>
      </c>
      <c r="U15" s="929"/>
      <c r="V15" s="930"/>
      <c r="W15" s="931"/>
      <c r="X15" s="931" t="e">
        <f>X16+#REF!+#REF!+X31+#REF!+#REF!+#REF!+#REF!+#REF!+#REF!</f>
        <v>#REF!</v>
      </c>
      <c r="Y15" s="931" t="e">
        <f>Y16+#REF!+#REF!+Y31+#REF!+#REF!+#REF!+#REF!+#REF!+#REF!</f>
        <v>#REF!</v>
      </c>
      <c r="Z15" s="931">
        <v>0</v>
      </c>
      <c r="AA15" s="931" t="e">
        <f>AA16+#REF!+#REF!+AA31+#REF!+#REF!+#REF!+#REF!</f>
        <v>#REF!</v>
      </c>
      <c r="AB15" s="928"/>
    </row>
    <row r="16" spans="2:28" ht="24.75" customHeight="1">
      <c r="B16" s="932" t="s">
        <v>248</v>
      </c>
      <c r="C16" s="933">
        <v>2</v>
      </c>
      <c r="D16" s="934" t="s">
        <v>202</v>
      </c>
      <c r="E16" s="935" t="s">
        <v>249</v>
      </c>
      <c r="F16" s="936"/>
      <c r="G16" s="937">
        <v>1</v>
      </c>
      <c r="H16" s="937"/>
      <c r="I16" s="937"/>
      <c r="J16" s="937"/>
      <c r="K16" s="937"/>
      <c r="L16" s="937"/>
      <c r="M16" s="937">
        <v>1</v>
      </c>
      <c r="N16" s="937"/>
      <c r="O16" s="937"/>
      <c r="P16" s="937"/>
      <c r="Q16" s="937"/>
      <c r="R16" s="938">
        <v>58200000</v>
      </c>
      <c r="S16" s="353"/>
      <c r="T16" s="939">
        <f>R16/R15*100</f>
        <v>51.677751041102461</v>
      </c>
      <c r="U16" s="940">
        <v>0</v>
      </c>
      <c r="V16" s="941" t="s">
        <v>148</v>
      </c>
      <c r="W16" s="942">
        <f>U16/C16*100</f>
        <v>0</v>
      </c>
      <c r="X16" s="942">
        <f>W16*T16/100</f>
        <v>0</v>
      </c>
      <c r="Y16" s="943">
        <f>SUM(Y17:Y18)</f>
        <v>0</v>
      </c>
      <c r="Z16" s="942">
        <f>Y16/R16*100</f>
        <v>0</v>
      </c>
      <c r="AA16" s="942">
        <f>Z16*T16/100</f>
        <v>0</v>
      </c>
      <c r="AB16" s="944"/>
    </row>
    <row r="17" spans="2:28" ht="15" customHeight="1">
      <c r="B17" s="945" t="s">
        <v>149</v>
      </c>
      <c r="C17" s="380"/>
      <c r="D17" s="381"/>
      <c r="E17" s="382"/>
      <c r="F17" s="946">
        <f>F16/$C$16*100</f>
        <v>0</v>
      </c>
      <c r="G17" s="946">
        <f t="shared" ref="G17:Q17" si="0">G16/$C$16*100</f>
        <v>50</v>
      </c>
      <c r="H17" s="946">
        <f t="shared" si="0"/>
        <v>0</v>
      </c>
      <c r="I17" s="946">
        <f t="shared" si="0"/>
        <v>0</v>
      </c>
      <c r="J17" s="946">
        <f t="shared" si="0"/>
        <v>0</v>
      </c>
      <c r="K17" s="946">
        <f t="shared" si="0"/>
        <v>0</v>
      </c>
      <c r="L17" s="946">
        <f t="shared" si="0"/>
        <v>0</v>
      </c>
      <c r="M17" s="946">
        <f t="shared" si="0"/>
        <v>50</v>
      </c>
      <c r="N17" s="946">
        <f t="shared" si="0"/>
        <v>0</v>
      </c>
      <c r="O17" s="946">
        <f t="shared" si="0"/>
        <v>0</v>
      </c>
      <c r="P17" s="946">
        <f t="shared" si="0"/>
        <v>0</v>
      </c>
      <c r="Q17" s="947">
        <f t="shared" si="0"/>
        <v>0</v>
      </c>
      <c r="R17" s="948"/>
      <c r="S17" s="949"/>
      <c r="T17" s="330"/>
      <c r="U17" s="950"/>
      <c r="V17" s="951"/>
      <c r="W17" s="952"/>
      <c r="X17" s="953"/>
      <c r="Y17" s="954">
        <v>0</v>
      </c>
      <c r="Z17" s="952" t="e">
        <f>Y17/R17*100</f>
        <v>#DIV/0!</v>
      </c>
      <c r="AA17" s="952" t="e">
        <f>Z17*T17/100</f>
        <v>#DIV/0!</v>
      </c>
      <c r="AB17" s="955"/>
    </row>
    <row r="18" spans="2:28" ht="15" customHeight="1">
      <c r="B18" s="945" t="s">
        <v>150</v>
      </c>
      <c r="C18" s="380"/>
      <c r="D18" s="381"/>
      <c r="E18" s="382"/>
      <c r="F18" s="946">
        <f>SUM($F$17:F17)</f>
        <v>0</v>
      </c>
      <c r="G18" s="946">
        <f>SUM($F$17:G17)</f>
        <v>50</v>
      </c>
      <c r="H18" s="946">
        <f>SUM($F$17:H17)</f>
        <v>50</v>
      </c>
      <c r="I18" s="946">
        <f>SUM($F$17:I17)</f>
        <v>50</v>
      </c>
      <c r="J18" s="946">
        <f>SUM($F$17:J17)</f>
        <v>50</v>
      </c>
      <c r="K18" s="946">
        <f>SUM($F$17:K17)</f>
        <v>50</v>
      </c>
      <c r="L18" s="946">
        <f>SUM($F$17:L17)</f>
        <v>50</v>
      </c>
      <c r="M18" s="946">
        <f>SUM($F$17:M17)</f>
        <v>100</v>
      </c>
      <c r="N18" s="946">
        <f>SUM($F$17:N17)</f>
        <v>100</v>
      </c>
      <c r="O18" s="946">
        <f>SUM($F$17:O17)</f>
        <v>100</v>
      </c>
      <c r="P18" s="946">
        <f>SUM($F$17:P17)</f>
        <v>100</v>
      </c>
      <c r="Q18" s="947">
        <f>SUM($F$17:Q17)</f>
        <v>100</v>
      </c>
      <c r="R18" s="956"/>
      <c r="S18" s="367"/>
      <c r="T18" s="330"/>
      <c r="U18" s="950"/>
      <c r="V18" s="951"/>
      <c r="W18" s="952"/>
      <c r="X18" s="953"/>
      <c r="Y18" s="954">
        <v>0</v>
      </c>
      <c r="Z18" s="952" t="e">
        <f>Y18/R18*100</f>
        <v>#DIV/0!</v>
      </c>
      <c r="AA18" s="952" t="e">
        <f>Z18*T18/100</f>
        <v>#DIV/0!</v>
      </c>
      <c r="AB18" s="955"/>
    </row>
    <row r="19" spans="2:28" ht="15" customHeight="1">
      <c r="B19" s="945" t="s">
        <v>151</v>
      </c>
      <c r="C19" s="380"/>
      <c r="D19" s="381"/>
      <c r="E19" s="382"/>
      <c r="F19" s="946">
        <f>F17*$T$16/100</f>
        <v>0</v>
      </c>
      <c r="G19" s="946">
        <f t="shared" ref="G19:Q19" si="1">G17*$T$16/100</f>
        <v>25.838875520551234</v>
      </c>
      <c r="H19" s="946">
        <f t="shared" si="1"/>
        <v>0</v>
      </c>
      <c r="I19" s="946">
        <f t="shared" si="1"/>
        <v>0</v>
      </c>
      <c r="J19" s="946">
        <f t="shared" si="1"/>
        <v>0</v>
      </c>
      <c r="K19" s="946">
        <f t="shared" si="1"/>
        <v>0</v>
      </c>
      <c r="L19" s="946">
        <f t="shared" si="1"/>
        <v>0</v>
      </c>
      <c r="M19" s="946">
        <f t="shared" si="1"/>
        <v>25.838875520551234</v>
      </c>
      <c r="N19" s="946">
        <f>N17*$T$16/100</f>
        <v>0</v>
      </c>
      <c r="O19" s="946">
        <f t="shared" si="1"/>
        <v>0</v>
      </c>
      <c r="P19" s="946">
        <f t="shared" si="1"/>
        <v>0</v>
      </c>
      <c r="Q19" s="946">
        <f t="shared" si="1"/>
        <v>0</v>
      </c>
      <c r="R19" s="956"/>
      <c r="S19" s="367"/>
      <c r="T19" s="330"/>
      <c r="U19" s="950"/>
      <c r="V19" s="951"/>
      <c r="W19" s="952"/>
      <c r="X19" s="953"/>
      <c r="Y19" s="954"/>
      <c r="Z19" s="952"/>
      <c r="AA19" s="957"/>
      <c r="AB19" s="955"/>
    </row>
    <row r="20" spans="2:28" ht="11.25" customHeight="1">
      <c r="B20" s="958"/>
      <c r="C20" s="380"/>
      <c r="D20" s="381"/>
      <c r="E20" s="382"/>
      <c r="F20" s="946"/>
      <c r="G20" s="946"/>
      <c r="H20" s="946"/>
      <c r="I20" s="946"/>
      <c r="J20" s="946"/>
      <c r="K20" s="946"/>
      <c r="L20" s="946"/>
      <c r="M20" s="946"/>
      <c r="N20" s="946"/>
      <c r="O20" s="946"/>
      <c r="P20" s="946"/>
      <c r="Q20" s="946"/>
      <c r="R20" s="956"/>
      <c r="S20" s="367"/>
      <c r="T20" s="330"/>
      <c r="U20" s="950"/>
      <c r="V20" s="951"/>
      <c r="W20" s="952"/>
      <c r="X20" s="953"/>
      <c r="Y20" s="952"/>
      <c r="Z20" s="952"/>
      <c r="AA20" s="959"/>
      <c r="AB20" s="955"/>
    </row>
    <row r="21" spans="2:28" ht="15" customHeight="1">
      <c r="B21" s="960" t="s">
        <v>250</v>
      </c>
      <c r="C21" s="933">
        <v>1</v>
      </c>
      <c r="D21" s="934" t="s">
        <v>251</v>
      </c>
      <c r="E21" s="935" t="s">
        <v>252</v>
      </c>
      <c r="F21" s="937"/>
      <c r="G21" s="937">
        <v>0.01</v>
      </c>
      <c r="H21" s="937">
        <v>0.01</v>
      </c>
      <c r="I21" s="937">
        <v>0.2</v>
      </c>
      <c r="J21" s="937">
        <v>0.1</v>
      </c>
      <c r="K21" s="937">
        <v>0.01</v>
      </c>
      <c r="L21" s="937">
        <v>0.2</v>
      </c>
      <c r="M21" s="937">
        <v>0.02</v>
      </c>
      <c r="N21" s="937">
        <v>0.2</v>
      </c>
      <c r="O21" s="937">
        <v>0.04</v>
      </c>
      <c r="P21" s="937">
        <v>0.2</v>
      </c>
      <c r="Q21" s="937">
        <v>0.01</v>
      </c>
      <c r="R21" s="961">
        <v>652500</v>
      </c>
      <c r="S21" s="353"/>
      <c r="T21" s="939">
        <f>R21/$R$15*100</f>
        <v>0.57937684801236</v>
      </c>
      <c r="U21" s="940">
        <v>1</v>
      </c>
      <c r="V21" s="941" t="s">
        <v>148</v>
      </c>
      <c r="W21" s="942">
        <f>U21/C21*100</f>
        <v>100</v>
      </c>
      <c r="X21" s="942">
        <f>W21*T21/100</f>
        <v>0.57937684801236</v>
      </c>
      <c r="Y21" s="943">
        <f>SUM(Y22:Y25)</f>
        <v>0</v>
      </c>
      <c r="Z21" s="942">
        <f>Y21/R21*100</f>
        <v>0</v>
      </c>
      <c r="AA21" s="942">
        <f>Z21*T21/100</f>
        <v>0</v>
      </c>
      <c r="AB21" s="962"/>
    </row>
    <row r="22" spans="2:28" ht="15" customHeight="1">
      <c r="B22" s="945" t="s">
        <v>66</v>
      </c>
      <c r="C22" s="380"/>
      <c r="D22" s="381"/>
      <c r="E22" s="382"/>
      <c r="F22" s="946">
        <f>F21/$C$21*100</f>
        <v>0</v>
      </c>
      <c r="G22" s="946">
        <f t="shared" ref="G22:Q22" si="2">G21/$C$21*100</f>
        <v>1</v>
      </c>
      <c r="H22" s="946">
        <f t="shared" si="2"/>
        <v>1</v>
      </c>
      <c r="I22" s="946">
        <f t="shared" si="2"/>
        <v>20</v>
      </c>
      <c r="J22" s="946">
        <f t="shared" si="2"/>
        <v>10</v>
      </c>
      <c r="K22" s="946">
        <f t="shared" si="2"/>
        <v>1</v>
      </c>
      <c r="L22" s="946">
        <f t="shared" si="2"/>
        <v>20</v>
      </c>
      <c r="M22" s="946">
        <f t="shared" si="2"/>
        <v>2</v>
      </c>
      <c r="N22" s="946">
        <f t="shared" si="2"/>
        <v>20</v>
      </c>
      <c r="O22" s="946">
        <f t="shared" si="2"/>
        <v>4</v>
      </c>
      <c r="P22" s="946">
        <f t="shared" si="2"/>
        <v>20</v>
      </c>
      <c r="Q22" s="946">
        <f t="shared" si="2"/>
        <v>1</v>
      </c>
      <c r="R22" s="949"/>
      <c r="S22" s="949"/>
      <c r="T22" s="330"/>
      <c r="U22" s="950"/>
      <c r="V22" s="951"/>
      <c r="W22" s="952"/>
      <c r="X22" s="953"/>
      <c r="Y22" s="954">
        <v>0</v>
      </c>
      <c r="Z22" s="952" t="e">
        <f>Y22/R22*100</f>
        <v>#DIV/0!</v>
      </c>
      <c r="AA22" s="952" t="e">
        <f>Z22*T22/100</f>
        <v>#DIV/0!</v>
      </c>
      <c r="AB22" s="963"/>
    </row>
    <row r="23" spans="2:28" ht="15" customHeight="1">
      <c r="B23" s="945" t="s">
        <v>67</v>
      </c>
      <c r="C23" s="380"/>
      <c r="D23" s="381"/>
      <c r="E23" s="382"/>
      <c r="F23" s="946">
        <f>SUM($F$22:F22)</f>
        <v>0</v>
      </c>
      <c r="G23" s="946">
        <f>SUM($F$22:G22)</f>
        <v>1</v>
      </c>
      <c r="H23" s="946">
        <f>SUM($F$22:H22)</f>
        <v>2</v>
      </c>
      <c r="I23" s="946">
        <f>SUM($F$22:I22)</f>
        <v>22</v>
      </c>
      <c r="J23" s="946">
        <f>SUM($F$22:J22)</f>
        <v>32</v>
      </c>
      <c r="K23" s="946">
        <f>SUM($F$22:K22)</f>
        <v>33</v>
      </c>
      <c r="L23" s="946">
        <f>SUM($F$22:L22)</f>
        <v>53</v>
      </c>
      <c r="M23" s="946">
        <f>SUM($F$22:M22)</f>
        <v>55</v>
      </c>
      <c r="N23" s="946">
        <f>SUM($F$22:N22)</f>
        <v>75</v>
      </c>
      <c r="O23" s="946">
        <f>SUM($F$22:O22)</f>
        <v>79</v>
      </c>
      <c r="P23" s="946">
        <f>SUM($F$22:P22)</f>
        <v>99</v>
      </c>
      <c r="Q23" s="946">
        <f>SUM($F$22:Q22)</f>
        <v>100</v>
      </c>
      <c r="R23" s="367"/>
      <c r="S23" s="367"/>
      <c r="T23" s="330"/>
      <c r="U23" s="950"/>
      <c r="V23" s="951"/>
      <c r="W23" s="952"/>
      <c r="X23" s="953"/>
      <c r="Y23" s="954">
        <v>0</v>
      </c>
      <c r="Z23" s="952" t="e">
        <f>Y23/R23*100</f>
        <v>#DIV/0!</v>
      </c>
      <c r="AA23" s="952" t="e">
        <f>Z23*T23/100</f>
        <v>#DIV/0!</v>
      </c>
      <c r="AB23" s="963"/>
    </row>
    <row r="24" spans="2:28" ht="15" customHeight="1">
      <c r="B24" s="945" t="s">
        <v>68</v>
      </c>
      <c r="C24" s="380"/>
      <c r="D24" s="381"/>
      <c r="E24" s="382"/>
      <c r="F24" s="946">
        <f>F22*$T$21/100</f>
        <v>0</v>
      </c>
      <c r="G24" s="946">
        <f t="shared" ref="G24:Q24" si="3">G22*$T$21/100</f>
        <v>5.7937684801236001E-3</v>
      </c>
      <c r="H24" s="946">
        <f t="shared" si="3"/>
        <v>5.7937684801236001E-3</v>
      </c>
      <c r="I24" s="946">
        <f t="shared" si="3"/>
        <v>0.11587536960247199</v>
      </c>
      <c r="J24" s="946">
        <f t="shared" si="3"/>
        <v>5.7937684801235997E-2</v>
      </c>
      <c r="K24" s="946">
        <f>K22*$T$21/100</f>
        <v>5.7937684801236001E-3</v>
      </c>
      <c r="L24" s="946">
        <f t="shared" si="3"/>
        <v>0.11587536960247199</v>
      </c>
      <c r="M24" s="946">
        <f t="shared" si="3"/>
        <v>1.15875369602472E-2</v>
      </c>
      <c r="N24" s="946">
        <f t="shared" si="3"/>
        <v>0.11587536960247199</v>
      </c>
      <c r="O24" s="946">
        <f t="shared" si="3"/>
        <v>2.31750739204944E-2</v>
      </c>
      <c r="P24" s="946">
        <f t="shared" si="3"/>
        <v>0.11587536960247199</v>
      </c>
      <c r="Q24" s="946">
        <f t="shared" si="3"/>
        <v>5.7937684801236001E-3</v>
      </c>
      <c r="R24" s="367"/>
      <c r="S24" s="367"/>
      <c r="T24" s="330"/>
      <c r="U24" s="950"/>
      <c r="V24" s="951"/>
      <c r="W24" s="952"/>
      <c r="X24" s="953"/>
      <c r="Y24" s="954"/>
      <c r="Z24" s="952"/>
      <c r="AA24" s="952"/>
      <c r="AB24" s="963"/>
    </row>
    <row r="25" spans="2:28" ht="8.25" customHeight="1">
      <c r="B25" s="964"/>
      <c r="C25" s="965"/>
      <c r="D25" s="966"/>
      <c r="E25" s="392"/>
      <c r="F25" s="967"/>
      <c r="G25" s="967"/>
      <c r="H25" s="967"/>
      <c r="I25" s="967"/>
      <c r="J25" s="967"/>
      <c r="K25" s="967"/>
      <c r="L25" s="967"/>
      <c r="M25" s="967"/>
      <c r="N25" s="967"/>
      <c r="O25" s="967"/>
      <c r="P25" s="967"/>
      <c r="Q25" s="967"/>
      <c r="R25" s="394"/>
      <c r="S25" s="367"/>
      <c r="T25" s="330"/>
      <c r="U25" s="968"/>
      <c r="V25" s="969"/>
      <c r="W25" s="970"/>
      <c r="X25" s="971"/>
      <c r="Y25" s="813">
        <v>0</v>
      </c>
      <c r="Z25" s="970">
        <v>0</v>
      </c>
      <c r="AA25" s="970">
        <v>0</v>
      </c>
      <c r="AB25" s="972"/>
    </row>
    <row r="26" spans="2:28" ht="15" customHeight="1">
      <c r="B26" s="973" t="s">
        <v>253</v>
      </c>
      <c r="C26" s="974">
        <v>1</v>
      </c>
      <c r="D26" s="975" t="s">
        <v>251</v>
      </c>
      <c r="E26" s="976" t="s">
        <v>252</v>
      </c>
      <c r="F26" s="977"/>
      <c r="G26" s="937">
        <v>0.01</v>
      </c>
      <c r="H26" s="937">
        <v>0.01</v>
      </c>
      <c r="I26" s="937">
        <v>0.2</v>
      </c>
      <c r="J26" s="937">
        <v>0.1</v>
      </c>
      <c r="K26" s="937">
        <v>0.01</v>
      </c>
      <c r="L26" s="937">
        <v>0.2</v>
      </c>
      <c r="M26" s="937">
        <v>0.02</v>
      </c>
      <c r="N26" s="937">
        <v>0.2</v>
      </c>
      <c r="O26" s="937">
        <v>0.04</v>
      </c>
      <c r="P26" s="937">
        <v>0.2</v>
      </c>
      <c r="Q26" s="937">
        <v>0.01</v>
      </c>
      <c r="R26" s="978">
        <v>652500</v>
      </c>
      <c r="S26" s="353"/>
      <c r="T26" s="939">
        <f>R26/$R$15*100</f>
        <v>0.57937684801236</v>
      </c>
      <c r="U26" s="940">
        <v>0</v>
      </c>
      <c r="V26" s="941" t="s">
        <v>166</v>
      </c>
      <c r="W26" s="942">
        <f>U26/C26*100</f>
        <v>0</v>
      </c>
      <c r="X26" s="942">
        <f>W26*T26/100</f>
        <v>0</v>
      </c>
      <c r="Y26" s="943">
        <f>SUM(Y27:Y29)</f>
        <v>0</v>
      </c>
      <c r="Z26" s="942">
        <f>Y26/R26*100</f>
        <v>0</v>
      </c>
      <c r="AA26" s="942">
        <f>Z26*T26/100</f>
        <v>0</v>
      </c>
      <c r="AB26" s="962"/>
    </row>
    <row r="27" spans="2:28" ht="15" customHeight="1">
      <c r="B27" s="945" t="s">
        <v>66</v>
      </c>
      <c r="C27" s="380"/>
      <c r="D27" s="381"/>
      <c r="E27" s="382"/>
      <c r="F27" s="946">
        <f t="shared" ref="F27:Q27" si="4">F26/$C$26*100</f>
        <v>0</v>
      </c>
      <c r="G27" s="946">
        <f t="shared" si="4"/>
        <v>1</v>
      </c>
      <c r="H27" s="946">
        <f t="shared" si="4"/>
        <v>1</v>
      </c>
      <c r="I27" s="946">
        <f t="shared" si="4"/>
        <v>20</v>
      </c>
      <c r="J27" s="946">
        <f t="shared" si="4"/>
        <v>10</v>
      </c>
      <c r="K27" s="946">
        <f t="shared" si="4"/>
        <v>1</v>
      </c>
      <c r="L27" s="946">
        <f t="shared" si="4"/>
        <v>20</v>
      </c>
      <c r="M27" s="946">
        <f t="shared" si="4"/>
        <v>2</v>
      </c>
      <c r="N27" s="946">
        <f t="shared" si="4"/>
        <v>20</v>
      </c>
      <c r="O27" s="946">
        <f t="shared" si="4"/>
        <v>4</v>
      </c>
      <c r="P27" s="946">
        <f t="shared" si="4"/>
        <v>20</v>
      </c>
      <c r="Q27" s="946">
        <f t="shared" si="4"/>
        <v>1</v>
      </c>
      <c r="R27" s="948"/>
      <c r="S27" s="949"/>
      <c r="T27" s="330"/>
      <c r="U27" s="950"/>
      <c r="V27" s="951"/>
      <c r="W27" s="952"/>
      <c r="X27" s="953"/>
      <c r="Y27" s="954">
        <v>0</v>
      </c>
      <c r="Z27" s="952" t="e">
        <f>Y27/R27*100</f>
        <v>#DIV/0!</v>
      </c>
      <c r="AA27" s="952" t="e">
        <f>Z27*T27/100</f>
        <v>#DIV/0!</v>
      </c>
      <c r="AB27" s="963"/>
    </row>
    <row r="28" spans="2:28" ht="15" customHeight="1">
      <c r="B28" s="945" t="s">
        <v>67</v>
      </c>
      <c r="C28" s="380"/>
      <c r="D28" s="381"/>
      <c r="E28" s="382"/>
      <c r="F28" s="946">
        <f>SUM($F$27:F27)</f>
        <v>0</v>
      </c>
      <c r="G28" s="946">
        <f>SUM($F$27:G27)</f>
        <v>1</v>
      </c>
      <c r="H28" s="946">
        <f>SUM($F$27:H27)</f>
        <v>2</v>
      </c>
      <c r="I28" s="946">
        <f>SUM($F$27:I27)</f>
        <v>22</v>
      </c>
      <c r="J28" s="946">
        <f>SUM($F$27:J27)</f>
        <v>32</v>
      </c>
      <c r="K28" s="947">
        <f>SUM($F$27:K27)</f>
        <v>33</v>
      </c>
      <c r="L28" s="946">
        <f>SUM($F$27:L27)</f>
        <v>53</v>
      </c>
      <c r="M28" s="946">
        <f>SUM($F$27:M27)</f>
        <v>55</v>
      </c>
      <c r="N28" s="947">
        <f>SUM($F$27:N27)</f>
        <v>75</v>
      </c>
      <c r="O28" s="946">
        <f>SUM($F$27:O27)</f>
        <v>79</v>
      </c>
      <c r="P28" s="946">
        <f>SUM($F$27:P27)</f>
        <v>99</v>
      </c>
      <c r="Q28" s="946">
        <f>SUM($F$27:Q27)</f>
        <v>100</v>
      </c>
      <c r="R28" s="956"/>
      <c r="S28" s="367"/>
      <c r="T28" s="330"/>
      <c r="U28" s="950"/>
      <c r="V28" s="951"/>
      <c r="W28" s="952"/>
      <c r="X28" s="953"/>
      <c r="Y28" s="954">
        <v>0</v>
      </c>
      <c r="Z28" s="952" t="e">
        <f>Y28/R28*100</f>
        <v>#DIV/0!</v>
      </c>
      <c r="AA28" s="952" t="e">
        <f>Z28*T28/100</f>
        <v>#DIV/0!</v>
      </c>
      <c r="AB28" s="963"/>
    </row>
    <row r="29" spans="2:28" ht="15" customHeight="1">
      <c r="B29" s="945" t="s">
        <v>68</v>
      </c>
      <c r="C29" s="380"/>
      <c r="D29" s="381"/>
      <c r="E29" s="382"/>
      <c r="F29" s="946">
        <f t="shared" ref="F29:Q29" si="5">F27*$T$26/100</f>
        <v>0</v>
      </c>
      <c r="G29" s="946">
        <f t="shared" si="5"/>
        <v>5.7937684801236001E-3</v>
      </c>
      <c r="H29" s="946">
        <f t="shared" si="5"/>
        <v>5.7937684801236001E-3</v>
      </c>
      <c r="I29" s="946">
        <f t="shared" si="5"/>
        <v>0.11587536960247199</v>
      </c>
      <c r="J29" s="946">
        <f>J27*$T$26/100</f>
        <v>5.7937684801235997E-2</v>
      </c>
      <c r="K29" s="946">
        <f t="shared" si="5"/>
        <v>5.7937684801236001E-3</v>
      </c>
      <c r="L29" s="946">
        <f t="shared" si="5"/>
        <v>0.11587536960247199</v>
      </c>
      <c r="M29" s="946">
        <f t="shared" si="5"/>
        <v>1.15875369602472E-2</v>
      </c>
      <c r="N29" s="946">
        <f t="shared" si="5"/>
        <v>0.11587536960247199</v>
      </c>
      <c r="O29" s="946">
        <f t="shared" si="5"/>
        <v>2.31750739204944E-2</v>
      </c>
      <c r="P29" s="946">
        <f t="shared" si="5"/>
        <v>0.11587536960247199</v>
      </c>
      <c r="Q29" s="946">
        <f t="shared" si="5"/>
        <v>5.7937684801236001E-3</v>
      </c>
      <c r="R29" s="956"/>
      <c r="S29" s="367"/>
      <c r="T29" s="330"/>
      <c r="U29" s="950"/>
      <c r="V29" s="951"/>
      <c r="W29" s="952"/>
      <c r="X29" s="953"/>
      <c r="Y29" s="954"/>
      <c r="Z29" s="952"/>
      <c r="AA29" s="952"/>
      <c r="AB29" s="963"/>
    </row>
    <row r="30" spans="2:28" ht="5.25" customHeight="1">
      <c r="B30" s="958"/>
      <c r="C30" s="380"/>
      <c r="D30" s="381"/>
      <c r="E30" s="382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56"/>
      <c r="S30" s="367"/>
      <c r="T30" s="330"/>
      <c r="U30" s="950"/>
      <c r="V30" s="951"/>
      <c r="W30" s="952"/>
      <c r="X30" s="953"/>
      <c r="Y30" s="954"/>
      <c r="Z30" s="952"/>
      <c r="AA30" s="952"/>
      <c r="AB30" s="955"/>
    </row>
    <row r="31" spans="2:28" ht="24.75" customHeight="1">
      <c r="B31" s="932" t="s">
        <v>254</v>
      </c>
      <c r="C31" s="933">
        <v>700</v>
      </c>
      <c r="D31" s="979" t="s">
        <v>255</v>
      </c>
      <c r="E31" s="980" t="s">
        <v>249</v>
      </c>
      <c r="F31" s="977"/>
      <c r="G31" s="937"/>
      <c r="H31" s="937"/>
      <c r="I31" s="937">
        <v>400</v>
      </c>
      <c r="J31" s="937"/>
      <c r="K31" s="937"/>
      <c r="L31" s="937"/>
      <c r="M31" s="937"/>
      <c r="N31" s="937"/>
      <c r="O31" s="937">
        <v>300</v>
      </c>
      <c r="P31" s="937"/>
      <c r="Q31" s="937"/>
      <c r="R31" s="961">
        <v>23756000</v>
      </c>
      <c r="S31" s="353"/>
      <c r="T31" s="939">
        <f>R31/$R$15*100</f>
        <v>21.093756936983333</v>
      </c>
      <c r="U31" s="940">
        <v>0</v>
      </c>
      <c r="V31" s="941" t="s">
        <v>53</v>
      </c>
      <c r="W31" s="942">
        <f>U31/C31*100</f>
        <v>0</v>
      </c>
      <c r="X31" s="942">
        <f>W31*T31/100</f>
        <v>0</v>
      </c>
      <c r="Y31" s="943">
        <f>SUM(Y32:Y35)</f>
        <v>0</v>
      </c>
      <c r="Z31" s="942">
        <f>Y31/R31*100</f>
        <v>0</v>
      </c>
      <c r="AA31" s="942">
        <f>Z31*T31/100</f>
        <v>0</v>
      </c>
      <c r="AB31" s="962"/>
    </row>
    <row r="32" spans="2:28" ht="15" customHeight="1">
      <c r="B32" s="945" t="s">
        <v>66</v>
      </c>
      <c r="C32" s="380"/>
      <c r="D32" s="381"/>
      <c r="E32" s="382"/>
      <c r="F32" s="946">
        <f t="shared" ref="F32:Q32" si="6">F31/$C$31*100</f>
        <v>0</v>
      </c>
      <c r="G32" s="946">
        <f t="shared" si="6"/>
        <v>0</v>
      </c>
      <c r="H32" s="946">
        <f t="shared" si="6"/>
        <v>0</v>
      </c>
      <c r="I32" s="946">
        <f t="shared" si="6"/>
        <v>57.142857142857139</v>
      </c>
      <c r="J32" s="946">
        <f t="shared" si="6"/>
        <v>0</v>
      </c>
      <c r="K32" s="946">
        <f t="shared" si="6"/>
        <v>0</v>
      </c>
      <c r="L32" s="946">
        <f t="shared" si="6"/>
        <v>0</v>
      </c>
      <c r="M32" s="946">
        <f t="shared" si="6"/>
        <v>0</v>
      </c>
      <c r="N32" s="946">
        <f t="shared" si="6"/>
        <v>0</v>
      </c>
      <c r="O32" s="946">
        <f t="shared" si="6"/>
        <v>42.857142857142854</v>
      </c>
      <c r="P32" s="946">
        <f t="shared" si="6"/>
        <v>0</v>
      </c>
      <c r="Q32" s="946">
        <f t="shared" si="6"/>
        <v>0</v>
      </c>
      <c r="R32" s="949"/>
      <c r="S32" s="949"/>
      <c r="T32" s="330"/>
      <c r="U32" s="950"/>
      <c r="V32" s="951"/>
      <c r="W32" s="952" t="s">
        <v>60</v>
      </c>
      <c r="X32" s="953"/>
      <c r="Y32" s="954">
        <v>0</v>
      </c>
      <c r="Z32" s="952" t="e">
        <f>Y32/R32*100</f>
        <v>#DIV/0!</v>
      </c>
      <c r="AA32" s="952" t="e">
        <f>Z32*T32/100</f>
        <v>#DIV/0!</v>
      </c>
      <c r="AB32" s="963"/>
    </row>
    <row r="33" spans="2:28" ht="15" customHeight="1">
      <c r="B33" s="945" t="s">
        <v>67</v>
      </c>
      <c r="C33" s="380"/>
      <c r="D33" s="381"/>
      <c r="E33" s="382"/>
      <c r="F33" s="946">
        <f>SUM($F$27:F32)</f>
        <v>0</v>
      </c>
      <c r="G33" s="946">
        <f>SUM($F$32:G32)</f>
        <v>0</v>
      </c>
      <c r="H33" s="946">
        <f>SUM($F$32:H32)</f>
        <v>0</v>
      </c>
      <c r="I33" s="946">
        <f>SUM($F$32:I32)</f>
        <v>57.142857142857139</v>
      </c>
      <c r="J33" s="946">
        <f>SUM($F$32:J32)</f>
        <v>57.142857142857139</v>
      </c>
      <c r="K33" s="946">
        <f>SUM($F$32:K32)</f>
        <v>57.142857142857139</v>
      </c>
      <c r="L33" s="946">
        <f>SUM($F$32:L32)</f>
        <v>57.142857142857139</v>
      </c>
      <c r="M33" s="946">
        <f>SUM($F$32:M32)</f>
        <v>57.142857142857139</v>
      </c>
      <c r="N33" s="946">
        <f>SUM($F$32:N32)</f>
        <v>57.142857142857139</v>
      </c>
      <c r="O33" s="946">
        <f>SUM($F$32:O32)</f>
        <v>100</v>
      </c>
      <c r="P33" s="946">
        <f>SUM($F$32:P32)</f>
        <v>100</v>
      </c>
      <c r="Q33" s="946">
        <f>SUM($F$32:Q32)</f>
        <v>100</v>
      </c>
      <c r="R33" s="367"/>
      <c r="S33" s="367"/>
      <c r="T33" s="330"/>
      <c r="U33" s="950"/>
      <c r="V33" s="951"/>
      <c r="W33" s="952"/>
      <c r="X33" s="953"/>
      <c r="Y33" s="954">
        <v>0</v>
      </c>
      <c r="Z33" s="952" t="e">
        <f>Y33/R33*100</f>
        <v>#DIV/0!</v>
      </c>
      <c r="AA33" s="952" t="e">
        <f>Z33*T33/100</f>
        <v>#DIV/0!</v>
      </c>
      <c r="AB33" s="963"/>
    </row>
    <row r="34" spans="2:28" ht="15" customHeight="1">
      <c r="B34" s="945" t="s">
        <v>68</v>
      </c>
      <c r="C34" s="380"/>
      <c r="D34" s="381"/>
      <c r="E34" s="382"/>
      <c r="F34" s="946">
        <f>F32*$T$26/100</f>
        <v>0</v>
      </c>
      <c r="G34" s="946">
        <f t="shared" ref="G34:L34" si="7">G32*$T$31/100</f>
        <v>0</v>
      </c>
      <c r="H34" s="946">
        <f>H32*$T$31/100</f>
        <v>0</v>
      </c>
      <c r="I34" s="946">
        <f t="shared" si="7"/>
        <v>12.053575392561903</v>
      </c>
      <c r="J34" s="946">
        <f t="shared" si="7"/>
        <v>0</v>
      </c>
      <c r="K34" s="946">
        <f>K32*$T$31/100</f>
        <v>0</v>
      </c>
      <c r="L34" s="946">
        <f t="shared" si="7"/>
        <v>0</v>
      </c>
      <c r="M34" s="946">
        <f>M32*$T31/100</f>
        <v>0</v>
      </c>
      <c r="N34" s="946">
        <f>N32*$T$31/100</f>
        <v>0</v>
      </c>
      <c r="O34" s="946">
        <f>O32*$T$31/100</f>
        <v>9.0401815444214275</v>
      </c>
      <c r="P34" s="946">
        <f>P32*$T$31/100</f>
        <v>0</v>
      </c>
      <c r="Q34" s="946">
        <f>Q32*$T$31/100</f>
        <v>0</v>
      </c>
      <c r="R34" s="367"/>
      <c r="S34" s="367"/>
      <c r="T34" s="330"/>
      <c r="U34" s="950"/>
      <c r="V34" s="951"/>
      <c r="W34" s="952"/>
      <c r="X34" s="953"/>
      <c r="Y34" s="954"/>
      <c r="Z34" s="952"/>
      <c r="AA34" s="952"/>
      <c r="AB34" s="963"/>
    </row>
    <row r="35" spans="2:28" ht="5.25" customHeight="1" thickBot="1">
      <c r="B35" s="981"/>
      <c r="C35" s="982"/>
      <c r="D35" s="983"/>
      <c r="E35" s="984"/>
      <c r="F35" s="985"/>
      <c r="G35" s="985"/>
      <c r="H35" s="985"/>
      <c r="I35" s="985"/>
      <c r="J35" s="985"/>
      <c r="K35" s="985"/>
      <c r="L35" s="985"/>
      <c r="M35" s="985"/>
      <c r="N35" s="985"/>
      <c r="O35" s="985"/>
      <c r="P35" s="985"/>
      <c r="Q35" s="985"/>
      <c r="R35" s="986"/>
      <c r="S35" s="986"/>
      <c r="T35" s="987"/>
      <c r="U35" s="950"/>
      <c r="V35" s="951"/>
      <c r="W35" s="952"/>
      <c r="X35" s="953"/>
      <c r="Y35" s="954">
        <v>0</v>
      </c>
      <c r="Z35" s="952">
        <v>0</v>
      </c>
      <c r="AA35" s="952">
        <v>0</v>
      </c>
      <c r="AB35" s="972"/>
    </row>
    <row r="36" spans="2:28" ht="15" customHeight="1">
      <c r="B36" s="958" t="s">
        <v>256</v>
      </c>
      <c r="C36" s="380">
        <v>50</v>
      </c>
      <c r="D36" s="988" t="s">
        <v>199</v>
      </c>
      <c r="E36" s="382" t="s">
        <v>257</v>
      </c>
      <c r="F36" s="946"/>
      <c r="G36" s="946">
        <v>5</v>
      </c>
      <c r="H36" s="946">
        <v>5</v>
      </c>
      <c r="I36" s="946">
        <v>5</v>
      </c>
      <c r="J36" s="946">
        <v>5</v>
      </c>
      <c r="K36" s="946">
        <v>5</v>
      </c>
      <c r="L36" s="946">
        <v>5</v>
      </c>
      <c r="M36" s="946">
        <v>5</v>
      </c>
      <c r="N36" s="946">
        <v>5</v>
      </c>
      <c r="O36" s="946">
        <v>5</v>
      </c>
      <c r="P36" s="946">
        <v>5</v>
      </c>
      <c r="Q36" s="946"/>
      <c r="R36" s="336">
        <v>9550000</v>
      </c>
      <c r="S36" s="367"/>
      <c r="T36" s="330">
        <f>R36/$R$15*100</f>
        <v>8.4797684268475688</v>
      </c>
      <c r="U36" s="950"/>
      <c r="V36" s="951"/>
      <c r="W36" s="952"/>
      <c r="X36" s="953"/>
      <c r="Y36" s="954"/>
      <c r="Z36" s="952"/>
      <c r="AA36" s="952"/>
      <c r="AB36" s="955"/>
    </row>
    <row r="37" spans="2:28" ht="15" customHeight="1">
      <c r="B37" s="958" t="s">
        <v>258</v>
      </c>
      <c r="C37" s="380"/>
      <c r="D37" s="988"/>
      <c r="E37" s="382"/>
      <c r="F37" s="946">
        <f>F36/$C$26*100</f>
        <v>0</v>
      </c>
      <c r="G37" s="946">
        <f t="shared" ref="G37:P37" si="8">G36/$C$36*100</f>
        <v>10</v>
      </c>
      <c r="H37" s="946">
        <f t="shared" si="8"/>
        <v>10</v>
      </c>
      <c r="I37" s="946">
        <f t="shared" si="8"/>
        <v>10</v>
      </c>
      <c r="J37" s="946">
        <f t="shared" si="8"/>
        <v>10</v>
      </c>
      <c r="K37" s="946">
        <f t="shared" si="8"/>
        <v>10</v>
      </c>
      <c r="L37" s="946">
        <f t="shared" si="8"/>
        <v>10</v>
      </c>
      <c r="M37" s="946">
        <f t="shared" si="8"/>
        <v>10</v>
      </c>
      <c r="N37" s="946">
        <f t="shared" si="8"/>
        <v>10</v>
      </c>
      <c r="O37" s="946">
        <f t="shared" si="8"/>
        <v>10</v>
      </c>
      <c r="P37" s="946">
        <f t="shared" si="8"/>
        <v>10</v>
      </c>
      <c r="Q37" s="946">
        <f>Q36/$C$26*100</f>
        <v>0</v>
      </c>
      <c r="R37" s="336"/>
      <c r="S37" s="367"/>
      <c r="T37" s="330"/>
      <c r="U37" s="950"/>
      <c r="V37" s="951"/>
      <c r="W37" s="952"/>
      <c r="X37" s="953"/>
      <c r="Y37" s="954"/>
      <c r="Z37" s="952"/>
      <c r="AA37" s="952"/>
      <c r="AB37" s="955"/>
    </row>
    <row r="38" spans="2:28" ht="15" customHeight="1">
      <c r="B38" s="958" t="s">
        <v>259</v>
      </c>
      <c r="C38" s="380"/>
      <c r="D38" s="381"/>
      <c r="E38" s="382"/>
      <c r="F38" s="946">
        <f>SUM($F$27:F37)</f>
        <v>0</v>
      </c>
      <c r="G38" s="946">
        <f>SUM($F$37:G37)</f>
        <v>10</v>
      </c>
      <c r="H38" s="946">
        <f>SUM($F$37:H37)</f>
        <v>20</v>
      </c>
      <c r="I38" s="946">
        <f>SUM($F$37:I37)</f>
        <v>30</v>
      </c>
      <c r="J38" s="946">
        <f>SUM($F$37:J37)</f>
        <v>40</v>
      </c>
      <c r="K38" s="946">
        <f>SUM($F$37:K37)</f>
        <v>50</v>
      </c>
      <c r="L38" s="946">
        <f>SUM($F$37:L37)</f>
        <v>60</v>
      </c>
      <c r="M38" s="946">
        <f>SUM($F$37:M37)</f>
        <v>70</v>
      </c>
      <c r="N38" s="946">
        <f>SUM($F$37:N37)</f>
        <v>80</v>
      </c>
      <c r="O38" s="946">
        <f>SUM($F$37:O37)</f>
        <v>90</v>
      </c>
      <c r="P38" s="946">
        <f>SUM($F$37:P37)</f>
        <v>100</v>
      </c>
      <c r="Q38" s="946">
        <f>SUM($F$37:Q37)</f>
        <v>100</v>
      </c>
      <c r="R38" s="336"/>
      <c r="S38" s="367"/>
      <c r="T38" s="330"/>
      <c r="U38" s="950"/>
      <c r="V38" s="951"/>
      <c r="W38" s="952"/>
      <c r="X38" s="953"/>
      <c r="Y38" s="954"/>
      <c r="Z38" s="952"/>
      <c r="AA38" s="952"/>
      <c r="AB38" s="955"/>
    </row>
    <row r="39" spans="2:28" ht="15" customHeight="1">
      <c r="B39" s="958" t="s">
        <v>260</v>
      </c>
      <c r="C39" s="380"/>
      <c r="D39" s="381"/>
      <c r="E39" s="382"/>
      <c r="F39" s="946">
        <f>F37*$T$26/100</f>
        <v>0</v>
      </c>
      <c r="G39" s="946">
        <f t="shared" ref="G39:L39" si="9">G37*$T$36/100</f>
        <v>0.84797684268475693</v>
      </c>
      <c r="H39" s="946">
        <f t="shared" si="9"/>
        <v>0.84797684268475693</v>
      </c>
      <c r="I39" s="946">
        <f t="shared" si="9"/>
        <v>0.84797684268475693</v>
      </c>
      <c r="J39" s="946">
        <f t="shared" si="9"/>
        <v>0.84797684268475693</v>
      </c>
      <c r="K39" s="946">
        <f t="shared" si="9"/>
        <v>0.84797684268475693</v>
      </c>
      <c r="L39" s="946">
        <f t="shared" si="9"/>
        <v>0.84797684268475693</v>
      </c>
      <c r="M39" s="946">
        <f>M37*$T36/100</f>
        <v>0.84797684268475693</v>
      </c>
      <c r="N39" s="946">
        <f>N37*$T$36/100</f>
        <v>0.84797684268475693</v>
      </c>
      <c r="O39" s="946">
        <f>O37*$T$36/100</f>
        <v>0.84797684268475693</v>
      </c>
      <c r="P39" s="946">
        <f>P37*$T$36/100</f>
        <v>0.84797684268475693</v>
      </c>
      <c r="Q39" s="946">
        <f>Q37*$T$31/100</f>
        <v>0</v>
      </c>
      <c r="R39" s="336"/>
      <c r="S39" s="367"/>
      <c r="T39" s="330"/>
      <c r="U39" s="950"/>
      <c r="V39" s="951"/>
      <c r="W39" s="952"/>
      <c r="X39" s="953"/>
      <c r="Y39" s="954"/>
      <c r="Z39" s="952"/>
      <c r="AA39" s="952"/>
      <c r="AB39" s="955"/>
    </row>
    <row r="40" spans="2:28" ht="4.5" customHeight="1" thickBot="1">
      <c r="B40" s="981"/>
      <c r="C40" s="982"/>
      <c r="D40" s="983"/>
      <c r="E40" s="984"/>
      <c r="F40" s="985"/>
      <c r="G40" s="985"/>
      <c r="H40" s="985"/>
      <c r="I40" s="985"/>
      <c r="J40" s="985"/>
      <c r="K40" s="985"/>
      <c r="L40" s="985"/>
      <c r="M40" s="985"/>
      <c r="N40" s="985"/>
      <c r="O40" s="985"/>
      <c r="P40" s="985"/>
      <c r="Q40" s="985"/>
      <c r="R40" s="989"/>
      <c r="S40" s="986"/>
      <c r="T40" s="987"/>
      <c r="U40" s="950"/>
      <c r="V40" s="951"/>
      <c r="W40" s="952"/>
      <c r="X40" s="953"/>
      <c r="Y40" s="954"/>
      <c r="Z40" s="952"/>
      <c r="AA40" s="952"/>
      <c r="AB40" s="955"/>
    </row>
    <row r="41" spans="2:28" ht="15" customHeight="1">
      <c r="B41" s="958" t="s">
        <v>261</v>
      </c>
      <c r="C41" s="380">
        <v>1</v>
      </c>
      <c r="D41" s="381" t="s">
        <v>251</v>
      </c>
      <c r="E41" s="935" t="s">
        <v>252</v>
      </c>
      <c r="F41" s="977"/>
      <c r="G41" s="937">
        <v>0.01</v>
      </c>
      <c r="H41" s="937">
        <v>0.01</v>
      </c>
      <c r="I41" s="937">
        <v>0.2</v>
      </c>
      <c r="J41" s="937">
        <v>0.1</v>
      </c>
      <c r="K41" s="937">
        <v>0.01</v>
      </c>
      <c r="L41" s="937">
        <v>0.2</v>
      </c>
      <c r="M41" s="937">
        <v>0.02</v>
      </c>
      <c r="N41" s="937">
        <v>0.2</v>
      </c>
      <c r="O41" s="937">
        <v>0.04</v>
      </c>
      <c r="P41" s="937">
        <v>0.2</v>
      </c>
      <c r="Q41" s="937">
        <v>0.01</v>
      </c>
      <c r="R41" s="336">
        <v>19810000</v>
      </c>
      <c r="S41" s="367"/>
      <c r="T41" s="330">
        <f>R41/$R$15*100</f>
        <v>17.589969899041918</v>
      </c>
      <c r="U41" s="950"/>
      <c r="V41" s="951"/>
      <c r="W41" s="952"/>
      <c r="X41" s="953"/>
      <c r="Y41" s="954"/>
      <c r="Z41" s="952"/>
      <c r="AA41" s="952"/>
      <c r="AB41" s="955"/>
    </row>
    <row r="42" spans="2:28" ht="15" customHeight="1">
      <c r="B42" s="958" t="s">
        <v>262</v>
      </c>
      <c r="C42" s="380"/>
      <c r="D42" s="381"/>
      <c r="E42" s="382"/>
      <c r="F42" s="946">
        <f>F41/$C$41*100</f>
        <v>0</v>
      </c>
      <c r="G42" s="946">
        <f>G41/$C$41*100</f>
        <v>1</v>
      </c>
      <c r="H42" s="946">
        <f>H41/$C$41*100</f>
        <v>1</v>
      </c>
      <c r="I42" s="946">
        <f t="shared" ref="I42:Q42" si="10">I41/$C$26*100</f>
        <v>20</v>
      </c>
      <c r="J42" s="946">
        <f t="shared" si="10"/>
        <v>10</v>
      </c>
      <c r="K42" s="946">
        <f t="shared" si="10"/>
        <v>1</v>
      </c>
      <c r="L42" s="946">
        <f t="shared" si="10"/>
        <v>20</v>
      </c>
      <c r="M42" s="946">
        <f>M41/$C$41*100</f>
        <v>2</v>
      </c>
      <c r="N42" s="946">
        <f t="shared" si="10"/>
        <v>20</v>
      </c>
      <c r="O42" s="946">
        <f t="shared" si="10"/>
        <v>4</v>
      </c>
      <c r="P42" s="946">
        <f t="shared" si="10"/>
        <v>20</v>
      </c>
      <c r="Q42" s="946">
        <f t="shared" si="10"/>
        <v>1</v>
      </c>
      <c r="R42" s="367"/>
      <c r="S42" s="367"/>
      <c r="T42" s="330"/>
      <c r="U42" s="950"/>
      <c r="V42" s="951"/>
      <c r="W42" s="952"/>
      <c r="X42" s="953"/>
      <c r="Y42" s="954"/>
      <c r="Z42" s="952"/>
      <c r="AA42" s="952"/>
      <c r="AB42" s="955"/>
    </row>
    <row r="43" spans="2:28" ht="15" customHeight="1">
      <c r="B43" s="958" t="s">
        <v>263</v>
      </c>
      <c r="C43" s="380"/>
      <c r="D43" s="381"/>
      <c r="E43" s="382"/>
      <c r="F43" s="946">
        <f>SUM($F$27:F42)</f>
        <v>0</v>
      </c>
      <c r="G43" s="946">
        <f>SUM($F$42:G42)</f>
        <v>1</v>
      </c>
      <c r="H43" s="946">
        <f>SUM($F$42:H42)</f>
        <v>2</v>
      </c>
      <c r="I43" s="946">
        <f>SUM($F$42:I42)</f>
        <v>22</v>
      </c>
      <c r="J43" s="946">
        <f>SUM($F$42:J42)</f>
        <v>32</v>
      </c>
      <c r="K43" s="946">
        <f>SUM($F$42:K42)</f>
        <v>33</v>
      </c>
      <c r="L43" s="946">
        <f>SUM($F$42:L42)</f>
        <v>53</v>
      </c>
      <c r="M43" s="946">
        <f>SUM($F$42:M42)</f>
        <v>55</v>
      </c>
      <c r="N43" s="946">
        <f>SUM($F$42:N42)</f>
        <v>75</v>
      </c>
      <c r="O43" s="946">
        <f>SUM($F$42:O42)</f>
        <v>79</v>
      </c>
      <c r="P43" s="946">
        <f>SUM($F$42:P42)</f>
        <v>99</v>
      </c>
      <c r="Q43" s="946">
        <f>SUM($F$42:Q42)</f>
        <v>100</v>
      </c>
      <c r="R43" s="367"/>
      <c r="S43" s="367"/>
      <c r="T43" s="330"/>
      <c r="U43" s="950"/>
      <c r="V43" s="951"/>
      <c r="W43" s="952"/>
      <c r="X43" s="953"/>
      <c r="Y43" s="954"/>
      <c r="Z43" s="952"/>
      <c r="AA43" s="952"/>
      <c r="AB43" s="955"/>
    </row>
    <row r="44" spans="2:28" ht="15" customHeight="1">
      <c r="B44" s="958" t="s">
        <v>260</v>
      </c>
      <c r="C44" s="380"/>
      <c r="D44" s="381"/>
      <c r="E44" s="382"/>
      <c r="F44" s="946">
        <f>F42*$T$26/100</f>
        <v>0</v>
      </c>
      <c r="G44" s="946">
        <f t="shared" ref="G44:L44" si="11">G42*$T$41/100</f>
        <v>0.17589969899041918</v>
      </c>
      <c r="H44" s="946">
        <f t="shared" si="11"/>
        <v>0.17589969899041918</v>
      </c>
      <c r="I44" s="946">
        <f t="shared" si="11"/>
        <v>3.5179939798083835</v>
      </c>
      <c r="J44" s="946">
        <f t="shared" si="11"/>
        <v>1.7589969899041917</v>
      </c>
      <c r="K44" s="946">
        <f t="shared" si="11"/>
        <v>0.17589969899041918</v>
      </c>
      <c r="L44" s="946">
        <f t="shared" si="11"/>
        <v>3.5179939798083835</v>
      </c>
      <c r="M44" s="946">
        <f>M42*$T41/100</f>
        <v>0.35179939798083837</v>
      </c>
      <c r="N44" s="946">
        <f>N42*$T$41/100</f>
        <v>3.5179939798083835</v>
      </c>
      <c r="O44" s="946">
        <f>O42*$T$41/100</f>
        <v>0.70359879596167674</v>
      </c>
      <c r="P44" s="946">
        <f>P42*$T$41/100</f>
        <v>3.5179939798083835</v>
      </c>
      <c r="Q44" s="946">
        <f>Q42*$T$41/100</f>
        <v>0.17589969899041918</v>
      </c>
      <c r="R44" s="367"/>
      <c r="S44" s="367"/>
      <c r="T44" s="330"/>
      <c r="U44" s="950"/>
      <c r="V44" s="951"/>
      <c r="W44" s="952"/>
      <c r="X44" s="953"/>
      <c r="Y44" s="954"/>
      <c r="Z44" s="952"/>
      <c r="AA44" s="952"/>
      <c r="AB44" s="955"/>
    </row>
    <row r="45" spans="2:28" ht="15" hidden="1" customHeight="1">
      <c r="B45" s="981"/>
      <c r="C45" s="982"/>
      <c r="D45" s="983"/>
      <c r="E45" s="984"/>
      <c r="F45" s="985"/>
      <c r="G45" s="985"/>
      <c r="H45" s="985"/>
      <c r="I45" s="985"/>
      <c r="J45" s="985"/>
      <c r="K45" s="985"/>
      <c r="L45" s="985"/>
      <c r="M45" s="985"/>
      <c r="N45" s="985"/>
      <c r="O45" s="985"/>
      <c r="P45" s="985"/>
      <c r="Q45" s="985"/>
      <c r="R45" s="986"/>
      <c r="S45" s="367"/>
      <c r="T45" s="330"/>
      <c r="U45" s="950"/>
      <c r="V45" s="951"/>
      <c r="W45" s="952"/>
      <c r="X45" s="953"/>
      <c r="Y45" s="954"/>
      <c r="Z45" s="952"/>
      <c r="AA45" s="952"/>
      <c r="AB45" s="955"/>
    </row>
    <row r="46" spans="2:28" ht="15" hidden="1" customHeight="1">
      <c r="B46" s="990" t="s">
        <v>264</v>
      </c>
      <c r="C46" s="991"/>
      <c r="D46" s="992"/>
      <c r="E46" s="382"/>
      <c r="F46" s="946"/>
      <c r="G46" s="946"/>
      <c r="H46" s="946"/>
      <c r="I46" s="946"/>
      <c r="J46" s="946"/>
      <c r="K46" s="946"/>
      <c r="L46" s="946"/>
      <c r="M46" s="946"/>
      <c r="N46" s="946"/>
      <c r="O46" s="946"/>
      <c r="P46" s="946"/>
      <c r="Q46" s="946"/>
      <c r="R46" s="394"/>
      <c r="S46" s="367"/>
      <c r="T46" s="330"/>
      <c r="U46" s="950"/>
      <c r="V46" s="951"/>
      <c r="W46" s="952"/>
      <c r="X46" s="953"/>
      <c r="Y46" s="954">
        <v>0</v>
      </c>
      <c r="Z46" s="952">
        <v>0</v>
      </c>
      <c r="AA46" s="952">
        <v>0</v>
      </c>
      <c r="AB46" s="993"/>
    </row>
    <row r="47" spans="2:28" ht="15" hidden="1" customHeight="1">
      <c r="B47" s="887"/>
      <c r="C47" s="994"/>
      <c r="D47" s="995"/>
      <c r="E47" s="403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5"/>
      <c r="S47" s="405"/>
      <c r="T47" s="395"/>
      <c r="U47" s="968"/>
      <c r="V47" s="969"/>
      <c r="W47" s="970"/>
      <c r="X47" s="970"/>
      <c r="Y47" s="813"/>
      <c r="Z47" s="970"/>
      <c r="AA47" s="970"/>
      <c r="AB47" s="928"/>
    </row>
    <row r="48" spans="2:28" ht="18" customHeight="1" thickBot="1">
      <c r="B48" s="815" t="s">
        <v>41</v>
      </c>
      <c r="C48" s="816"/>
      <c r="D48" s="817"/>
      <c r="E48" s="818"/>
      <c r="F48" s="410">
        <f>F19+F24+F29+F34</f>
        <v>0</v>
      </c>
      <c r="G48" s="410">
        <f>G44+G39+G34+G29+G24</f>
        <v>1.0354640786354234</v>
      </c>
      <c r="H48" s="410">
        <f>H19+H24+H29+H34+H39+H44</f>
        <v>1.0354640786354232</v>
      </c>
      <c r="I48" s="410">
        <f>I19+I24+I29+I34+I39+I44</f>
        <v>16.651296954259987</v>
      </c>
      <c r="J48" s="410">
        <f>J19++J24+J29+J34+J39+J44</f>
        <v>2.7228492021914206</v>
      </c>
      <c r="K48" s="410">
        <f>K19+K24+K29+K34+K39+K44</f>
        <v>1.0354640786354232</v>
      </c>
      <c r="L48" s="410">
        <f>L19+L24+L29+L34+L39+L44</f>
        <v>4.5977215616980844</v>
      </c>
      <c r="M48" s="410">
        <f>M19++M24+M29+M44+M34+M39</f>
        <v>27.061826835137321</v>
      </c>
      <c r="N48" s="410">
        <f>N19+N24+N29+N34+N39+N44</f>
        <v>4.5977215616980844</v>
      </c>
      <c r="O48" s="410">
        <f>O19+O24+O29+O34+O39+O44</f>
        <v>10.63810733090885</v>
      </c>
      <c r="P48" s="410">
        <f>P19++P24+P29+P34+P39+P44</f>
        <v>4.5977215616980844</v>
      </c>
      <c r="Q48" s="410">
        <f>Q34+Q29+Q24+Q19+Q44</f>
        <v>0.18748723595066638</v>
      </c>
      <c r="R48" s="411"/>
      <c r="S48" s="411"/>
      <c r="T48" s="996"/>
      <c r="U48" s="997"/>
      <c r="V48" s="998"/>
      <c r="W48" s="999"/>
      <c r="X48" s="999">
        <f>SUM(X16:X46)</f>
        <v>0.57937684801236</v>
      </c>
      <c r="Y48" s="1000" t="e">
        <f>Y15</f>
        <v>#REF!</v>
      </c>
      <c r="Z48" s="1000">
        <f>Z15</f>
        <v>0</v>
      </c>
      <c r="AA48" s="1001" t="e">
        <f>AA16+#REF!+#REF!+AA31+#REF!+#REF!+#REF!</f>
        <v>#REF!</v>
      </c>
      <c r="AB48" s="1002"/>
    </row>
    <row r="49" spans="2:28" ht="18" customHeight="1" thickTop="1" thickBot="1">
      <c r="B49" s="822" t="s">
        <v>42</v>
      </c>
      <c r="C49" s="420"/>
      <c r="D49" s="420"/>
      <c r="E49" s="421"/>
      <c r="F49" s="422">
        <f>SUM($F$48:F48)</f>
        <v>0</v>
      </c>
      <c r="G49" s="422">
        <f>SUM($F$48:G48)</f>
        <v>1.0354640786354234</v>
      </c>
      <c r="H49" s="422">
        <f>SUM($F$48:H48)</f>
        <v>2.0709281572708464</v>
      </c>
      <c r="I49" s="422">
        <f>SUM($F$48:I48)</f>
        <v>18.722225111530832</v>
      </c>
      <c r="J49" s="422">
        <f>SUM($F$48:J48)</f>
        <v>21.445074313722252</v>
      </c>
      <c r="K49" s="422">
        <f>SUM($F$48:K48)</f>
        <v>22.480538392357676</v>
      </c>
      <c r="L49" s="422">
        <f>SUM($F$48:L48)</f>
        <v>27.07825995405576</v>
      </c>
      <c r="M49" s="422">
        <f>SUM($F$48:M48)</f>
        <v>54.140086789193077</v>
      </c>
      <c r="N49" s="422">
        <f>SUM($F$48:N48)</f>
        <v>58.737808350891164</v>
      </c>
      <c r="O49" s="422">
        <f>SUM($F$48:O48)</f>
        <v>69.375915681800009</v>
      </c>
      <c r="P49" s="422">
        <f>SUM($F$48:P48)</f>
        <v>73.973637243498089</v>
      </c>
      <c r="Q49" s="422">
        <f>SUM(G48:Q48)</f>
        <v>74.161124479448759</v>
      </c>
      <c r="R49" s="421"/>
      <c r="S49" s="421"/>
      <c r="T49" s="423"/>
      <c r="U49" s="424"/>
      <c r="V49" s="425"/>
      <c r="W49" s="425"/>
      <c r="X49" s="425"/>
      <c r="Y49" s="425"/>
      <c r="Z49" s="426"/>
      <c r="AA49" s="426"/>
      <c r="AB49" s="426"/>
    </row>
    <row r="50" spans="2:28" ht="5.25" customHeight="1">
      <c r="B50" s="611"/>
      <c r="C50" s="606"/>
      <c r="D50" s="606"/>
      <c r="E50" s="606"/>
      <c r="F50" s="610"/>
      <c r="G50" s="610"/>
      <c r="H50" s="610"/>
      <c r="I50" s="610"/>
      <c r="J50" s="610"/>
      <c r="K50" s="610"/>
      <c r="L50" s="610"/>
      <c r="M50" s="610"/>
      <c r="N50" s="610"/>
      <c r="O50" s="610"/>
      <c r="P50" s="610"/>
      <c r="Q50" s="609"/>
      <c r="R50" s="606"/>
      <c r="S50" s="606"/>
      <c r="T50" s="608"/>
      <c r="U50" s="607"/>
      <c r="V50" s="606"/>
      <c r="W50" s="606"/>
      <c r="X50" s="606"/>
      <c r="Y50" s="606"/>
      <c r="Z50" s="605"/>
      <c r="AA50" s="605"/>
      <c r="AB50" s="605"/>
    </row>
    <row r="51" spans="2:28" ht="12" customHeight="1"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0" t="s">
        <v>155</v>
      </c>
      <c r="U51" s="240"/>
      <c r="V51" s="241"/>
      <c r="W51" s="1003"/>
      <c r="X51" s="241"/>
      <c r="Y51" s="1003"/>
      <c r="Z51" s="241"/>
      <c r="AA51" s="240" t="s">
        <v>156</v>
      </c>
    </row>
    <row r="52" spans="2:28" ht="15">
      <c r="B52" s="240" t="s">
        <v>98</v>
      </c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1"/>
      <c r="T52" s="240"/>
      <c r="U52" s="240"/>
      <c r="V52" s="240"/>
      <c r="W52" s="240"/>
      <c r="X52" s="240"/>
      <c r="Y52" s="1004"/>
      <c r="Z52" s="240"/>
      <c r="AA52" s="241"/>
      <c r="AB52" s="240"/>
    </row>
    <row r="53" spans="2:28" ht="15">
      <c r="B53" s="240" t="s">
        <v>99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1005"/>
      <c r="Q53" s="240"/>
      <c r="R53" s="240" t="s">
        <v>46</v>
      </c>
      <c r="U53" s="240"/>
      <c r="V53" s="240"/>
      <c r="W53" s="240"/>
      <c r="X53" s="240"/>
      <c r="Y53" s="1004"/>
      <c r="AA53" s="240" t="s">
        <v>157</v>
      </c>
    </row>
    <row r="54" spans="2:28" ht="15">
      <c r="B54" s="240" t="s">
        <v>56</v>
      </c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1005"/>
      <c r="Q54" s="240"/>
      <c r="R54" s="240"/>
      <c r="U54" s="240"/>
      <c r="V54" s="240"/>
      <c r="W54" s="240"/>
      <c r="X54" s="240"/>
      <c r="Y54" s="1004"/>
      <c r="AA54" s="240"/>
    </row>
    <row r="55" spans="2:28" ht="10.5" customHeight="1"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1006"/>
      <c r="M55" s="240"/>
      <c r="N55" s="240"/>
      <c r="O55" s="240"/>
      <c r="P55" s="240"/>
      <c r="Q55" s="240"/>
      <c r="R55" s="240"/>
      <c r="U55" s="240"/>
      <c r="V55" s="240"/>
      <c r="W55" s="240"/>
      <c r="X55" s="240"/>
      <c r="Y55" s="1004"/>
      <c r="AA55" s="240"/>
    </row>
    <row r="56" spans="2:28" ht="6" customHeight="1"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1"/>
      <c r="T56" s="240"/>
      <c r="U56" s="240"/>
      <c r="V56" s="240"/>
      <c r="W56" s="240"/>
      <c r="X56" s="240"/>
      <c r="Y56" s="1004"/>
      <c r="Z56" s="240"/>
      <c r="AA56" s="241"/>
      <c r="AB56" s="240"/>
    </row>
    <row r="57" spans="2:28" ht="14.25">
      <c r="B57" s="245" t="s">
        <v>158</v>
      </c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 t="s">
        <v>265</v>
      </c>
      <c r="U57" s="245"/>
      <c r="V57" s="245"/>
      <c r="W57" s="245"/>
      <c r="X57" s="245"/>
      <c r="Y57" s="1007"/>
      <c r="Z57" s="245"/>
      <c r="AA57" s="245" t="s">
        <v>160</v>
      </c>
    </row>
    <row r="58" spans="2:28" ht="15">
      <c r="B58" s="240" t="s">
        <v>49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830" t="s">
        <v>266</v>
      </c>
      <c r="R58" s="830"/>
      <c r="S58" s="830"/>
      <c r="U58" s="240"/>
      <c r="V58" s="240"/>
      <c r="W58" s="240"/>
      <c r="X58" s="240"/>
      <c r="Y58" s="1004"/>
      <c r="Z58" s="240"/>
      <c r="AA58" s="240" t="s">
        <v>162</v>
      </c>
    </row>
    <row r="59" spans="2:28">
      <c r="B59" s="589"/>
      <c r="C59" s="589"/>
      <c r="D59" s="589"/>
      <c r="E59" s="589"/>
      <c r="F59" s="589"/>
      <c r="G59" s="589"/>
      <c r="H59" s="589"/>
      <c r="I59" s="589"/>
      <c r="J59" s="589"/>
      <c r="K59" s="589"/>
      <c r="L59" s="589"/>
      <c r="M59" s="589"/>
      <c r="N59" s="589"/>
      <c r="O59" s="589"/>
      <c r="P59" s="589"/>
      <c r="Q59" s="589"/>
      <c r="R59" s="590"/>
      <c r="S59" s="590"/>
      <c r="T59" s="589"/>
      <c r="U59" s="591"/>
      <c r="V59" s="589"/>
      <c r="W59" s="589"/>
      <c r="X59" s="589"/>
      <c r="Y59" s="590"/>
      <c r="Z59" s="589"/>
      <c r="AA59" s="589"/>
      <c r="AB59" s="589"/>
    </row>
  </sheetData>
  <mergeCells count="24">
    <mergeCell ref="C48:D48"/>
    <mergeCell ref="Q58:S58"/>
    <mergeCell ref="U11:V11"/>
    <mergeCell ref="C13:D13"/>
    <mergeCell ref="U13:V13"/>
    <mergeCell ref="AB21:AB25"/>
    <mergeCell ref="AB26:AB29"/>
    <mergeCell ref="AB31:AB35"/>
    <mergeCell ref="Y9:AA9"/>
    <mergeCell ref="F10:H10"/>
    <mergeCell ref="I10:K10"/>
    <mergeCell ref="L10:N10"/>
    <mergeCell ref="O10:Q10"/>
    <mergeCell ref="U10:V10"/>
    <mergeCell ref="B1:AB1"/>
    <mergeCell ref="B2:AB2"/>
    <mergeCell ref="C7:E7"/>
    <mergeCell ref="B9:B12"/>
    <mergeCell ref="C9:D12"/>
    <mergeCell ref="E9:E12"/>
    <mergeCell ref="F9:Q9"/>
    <mergeCell ref="R9:R11"/>
    <mergeCell ref="S9:S11"/>
    <mergeCell ref="U9:X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91"/>
  <sheetViews>
    <sheetView zoomScale="85" zoomScaleNormal="85" workbookViewId="0">
      <selection activeCell="M29" sqref="M29"/>
    </sheetView>
  </sheetViews>
  <sheetFormatPr defaultRowHeight="12.75"/>
  <cols>
    <col min="1" max="1" width="2.28515625" style="1009" customWidth="1"/>
    <col min="2" max="2" width="30.28515625" style="1009" customWidth="1"/>
    <col min="3" max="3" width="4.42578125" style="1009" customWidth="1"/>
    <col min="4" max="4" width="4.85546875" style="1009" customWidth="1"/>
    <col min="5" max="5" width="3.28515625" style="1009" customWidth="1"/>
    <col min="6" max="6" width="6.42578125" style="1009" customWidth="1"/>
    <col min="7" max="8" width="8.140625" style="1227" customWidth="1"/>
    <col min="9" max="9" width="7.28515625" style="1227" customWidth="1"/>
    <col min="10" max="10" width="6.7109375" style="1227" customWidth="1"/>
    <col min="11" max="11" width="6.85546875" style="1227" customWidth="1"/>
    <col min="12" max="12" width="7.28515625" style="1227" customWidth="1"/>
    <col min="13" max="13" width="7.42578125" style="1227" customWidth="1"/>
    <col min="14" max="14" width="7" style="1227" customWidth="1"/>
    <col min="15" max="15" width="7.140625" style="1227" customWidth="1"/>
    <col min="16" max="16" width="7.28515625" style="1227" customWidth="1"/>
    <col min="17" max="18" width="6.5703125" style="1227" customWidth="1"/>
    <col min="19" max="19" width="15.7109375" style="1009" customWidth="1"/>
    <col min="20" max="20" width="9.42578125" style="1009" customWidth="1"/>
    <col min="21" max="21" width="8.7109375" style="1009" customWidth="1"/>
    <col min="22" max="22" width="4.7109375" style="1227" hidden="1" customWidth="1"/>
    <col min="23" max="23" width="5" style="1009" hidden="1" customWidth="1"/>
    <col min="24" max="24" width="9.7109375" style="1009" hidden="1" customWidth="1"/>
    <col min="25" max="25" width="8.28515625" style="1009" hidden="1" customWidth="1"/>
    <col min="26" max="26" width="14.85546875" style="1009" hidden="1" customWidth="1"/>
    <col min="27" max="28" width="11.140625" style="1009" hidden="1" customWidth="1"/>
    <col min="29" max="29" width="17.140625" style="1009" hidden="1" customWidth="1"/>
    <col min="30" max="30" width="12.42578125" style="1009" customWidth="1"/>
    <col min="31" max="31" width="15.28515625" style="1009" customWidth="1"/>
    <col min="32" max="16384" width="9.140625" style="1009"/>
  </cols>
  <sheetData>
    <row r="1" spans="2:32">
      <c r="B1" s="1008" t="s">
        <v>0</v>
      </c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  <c r="R1" s="1008"/>
      <c r="S1" s="1008"/>
      <c r="T1" s="1008"/>
      <c r="U1" s="1008"/>
      <c r="V1" s="1008"/>
      <c r="W1" s="1008"/>
      <c r="X1" s="1008"/>
      <c r="Y1" s="1008"/>
      <c r="Z1" s="1008"/>
      <c r="AA1" s="1008"/>
      <c r="AB1" s="1008"/>
      <c r="AC1" s="1008"/>
    </row>
    <row r="2" spans="2:32">
      <c r="B2" s="1008" t="s">
        <v>1</v>
      </c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008"/>
      <c r="Z2" s="1008"/>
      <c r="AA2" s="1008"/>
      <c r="AB2" s="1008"/>
      <c r="AC2" s="1008"/>
    </row>
    <row r="3" spans="2:32" ht="8.25" customHeight="1">
      <c r="B3" s="102"/>
      <c r="C3" s="102"/>
      <c r="D3" s="102"/>
      <c r="E3" s="102"/>
      <c r="F3" s="102"/>
      <c r="G3" s="1010"/>
      <c r="H3" s="1010"/>
      <c r="I3" s="1010"/>
      <c r="J3" s="1010"/>
      <c r="K3" s="1010"/>
      <c r="L3" s="1010"/>
      <c r="M3" s="1010"/>
      <c r="N3" s="1010"/>
      <c r="O3" s="1010"/>
      <c r="P3" s="1010"/>
      <c r="Q3" s="1010"/>
      <c r="R3" s="1010"/>
      <c r="S3" s="102"/>
      <c r="T3" s="102"/>
      <c r="U3" s="102"/>
      <c r="V3" s="1010"/>
      <c r="W3" s="102"/>
      <c r="X3" s="102"/>
      <c r="Y3" s="102"/>
      <c r="Z3" s="102"/>
      <c r="AA3" s="102"/>
      <c r="AB3" s="102"/>
      <c r="AC3" s="102"/>
    </row>
    <row r="4" spans="2:32" ht="12.75" customHeight="1">
      <c r="B4" s="105" t="s">
        <v>267</v>
      </c>
      <c r="C4" s="105"/>
      <c r="D4" s="1011" t="s">
        <v>268</v>
      </c>
      <c r="E4" s="1011"/>
      <c r="F4" s="1011"/>
      <c r="G4" s="1011"/>
      <c r="H4" s="1011"/>
      <c r="I4" s="1011"/>
      <c r="J4" s="1011"/>
      <c r="K4" s="1011"/>
      <c r="L4" s="1011"/>
      <c r="M4" s="234"/>
      <c r="N4" s="234"/>
      <c r="O4" s="234"/>
      <c r="P4" s="234"/>
      <c r="Q4" s="234"/>
      <c r="R4" s="234"/>
      <c r="U4" s="105"/>
      <c r="V4" s="1012"/>
      <c r="W4" s="105"/>
      <c r="X4" s="105"/>
      <c r="Y4" s="105"/>
      <c r="Z4" s="105"/>
      <c r="AA4" s="102"/>
      <c r="AB4" s="102"/>
      <c r="AC4" s="102"/>
    </row>
    <row r="5" spans="2:32" ht="12.75" customHeight="1">
      <c r="B5" s="105" t="s">
        <v>117</v>
      </c>
      <c r="C5" s="105"/>
      <c r="D5" s="1011" t="s">
        <v>269</v>
      </c>
      <c r="E5" s="1011"/>
      <c r="F5" s="1011"/>
      <c r="G5" s="1011"/>
      <c r="H5" s="1011"/>
      <c r="I5" s="1011"/>
      <c r="J5" s="1011"/>
      <c r="K5" s="1011"/>
      <c r="L5" s="1011"/>
      <c r="M5" s="234"/>
      <c r="N5" s="234"/>
      <c r="O5" s="234"/>
      <c r="P5" s="234"/>
      <c r="Q5" s="234"/>
      <c r="R5" s="234"/>
      <c r="U5" s="105"/>
      <c r="V5" s="1012"/>
      <c r="W5" s="105"/>
      <c r="X5" s="105"/>
      <c r="Y5" s="105"/>
      <c r="Z5" s="105"/>
      <c r="AA5" s="102"/>
      <c r="AB5" s="102"/>
      <c r="AC5" s="102"/>
    </row>
    <row r="6" spans="2:32" ht="12.75" customHeight="1">
      <c r="B6" s="105" t="s">
        <v>5</v>
      </c>
      <c r="C6" s="105"/>
      <c r="D6" s="1011" t="s">
        <v>270</v>
      </c>
      <c r="E6" s="1011"/>
      <c r="F6" s="1011"/>
      <c r="G6" s="1011"/>
      <c r="H6" s="1011"/>
      <c r="I6" s="1011"/>
      <c r="J6" s="1011"/>
      <c r="K6" s="1011"/>
      <c r="L6" s="1011"/>
      <c r="M6" s="234"/>
      <c r="N6" s="234"/>
      <c r="O6" s="234"/>
      <c r="P6" s="234"/>
      <c r="Q6" s="234"/>
      <c r="R6" s="234"/>
      <c r="U6" s="105"/>
      <c r="V6" s="1012"/>
      <c r="W6" s="105"/>
      <c r="X6" s="105"/>
      <c r="Y6" s="105"/>
      <c r="Z6" s="105"/>
      <c r="AA6" s="102"/>
      <c r="AB6" s="102"/>
      <c r="AC6" s="102"/>
    </row>
    <row r="7" spans="2:32" ht="12.75" customHeight="1">
      <c r="B7" s="105" t="s">
        <v>7</v>
      </c>
      <c r="C7" s="105"/>
      <c r="D7" s="1011" t="s">
        <v>271</v>
      </c>
      <c r="E7" s="1011"/>
      <c r="F7" s="1011"/>
      <c r="G7" s="1011"/>
      <c r="H7" s="1013"/>
      <c r="I7" s="1013"/>
      <c r="J7" s="1013"/>
      <c r="K7" s="1013"/>
      <c r="L7" s="1013"/>
      <c r="M7" s="110"/>
      <c r="N7" s="110"/>
      <c r="O7" s="110"/>
      <c r="P7" s="110"/>
      <c r="Q7" s="110"/>
      <c r="R7" s="110"/>
      <c r="V7" s="1012"/>
      <c r="W7" s="227"/>
      <c r="X7" s="227"/>
      <c r="Y7" s="105"/>
      <c r="Z7" s="105"/>
      <c r="AA7" s="102"/>
      <c r="AB7" s="102"/>
      <c r="AC7" s="102"/>
    </row>
    <row r="8" spans="2:32" ht="9.75" customHeight="1" thickBot="1">
      <c r="B8" s="105"/>
      <c r="C8" s="105"/>
      <c r="D8" s="105"/>
      <c r="E8" s="105"/>
      <c r="F8" s="105"/>
      <c r="G8" s="1012"/>
      <c r="H8" s="1012"/>
      <c r="I8" s="1012"/>
      <c r="J8" s="1012"/>
      <c r="K8" s="1012"/>
      <c r="L8" s="1012"/>
      <c r="M8" s="1012"/>
      <c r="N8" s="1012"/>
      <c r="O8" s="1012"/>
      <c r="P8" s="1012"/>
      <c r="Q8" s="1012"/>
      <c r="R8" s="1012"/>
      <c r="S8" s="105"/>
      <c r="T8" s="105"/>
      <c r="U8" s="105"/>
      <c r="V8" s="1012"/>
      <c r="W8" s="105"/>
      <c r="X8" s="105"/>
      <c r="Y8" s="105"/>
      <c r="Z8" s="105"/>
      <c r="AA8" s="102"/>
      <c r="AB8" s="102"/>
      <c r="AC8" s="102"/>
    </row>
    <row r="9" spans="2:32" ht="12.75" customHeight="1" thickTop="1">
      <c r="B9" s="1014" t="s">
        <v>8</v>
      </c>
      <c r="C9" s="1015"/>
      <c r="D9" s="1016" t="s">
        <v>9</v>
      </c>
      <c r="E9" s="1015"/>
      <c r="F9" s="1017" t="s">
        <v>10</v>
      </c>
      <c r="G9" s="1018" t="s">
        <v>11</v>
      </c>
      <c r="H9" s="1019"/>
      <c r="I9" s="1019"/>
      <c r="J9" s="1019"/>
      <c r="K9" s="1019"/>
      <c r="L9" s="1019"/>
      <c r="M9" s="1019"/>
      <c r="N9" s="1019"/>
      <c r="O9" s="1019"/>
      <c r="P9" s="1019"/>
      <c r="Q9" s="1019"/>
      <c r="R9" s="1020"/>
      <c r="S9" s="1017" t="s">
        <v>7</v>
      </c>
      <c r="T9" s="1017" t="s">
        <v>12</v>
      </c>
      <c r="U9" s="1021" t="s">
        <v>13</v>
      </c>
      <c r="V9" s="1022" t="s">
        <v>130</v>
      </c>
      <c r="W9" s="1022"/>
      <c r="X9" s="1022"/>
      <c r="Y9" s="1023"/>
      <c r="Z9" s="1024" t="s">
        <v>131</v>
      </c>
      <c r="AA9" s="1022"/>
      <c r="AB9" s="1023"/>
      <c r="AC9" s="1025"/>
    </row>
    <row r="10" spans="2:32" ht="12.75" customHeight="1">
      <c r="B10" s="1026"/>
      <c r="C10" s="1027"/>
      <c r="D10" s="1028"/>
      <c r="E10" s="1027"/>
      <c r="F10" s="1029"/>
      <c r="G10" s="1030" t="s">
        <v>14</v>
      </c>
      <c r="H10" s="1031"/>
      <c r="I10" s="1032"/>
      <c r="J10" s="1031" t="s">
        <v>15</v>
      </c>
      <c r="K10" s="1031"/>
      <c r="L10" s="1031"/>
      <c r="M10" s="1033" t="s">
        <v>16</v>
      </c>
      <c r="N10" s="1031"/>
      <c r="O10" s="1032"/>
      <c r="P10" s="1033" t="s">
        <v>17</v>
      </c>
      <c r="Q10" s="1031"/>
      <c r="R10" s="1032"/>
      <c r="S10" s="1027"/>
      <c r="T10" s="1029"/>
      <c r="U10" s="1034"/>
      <c r="V10" s="1035" t="s">
        <v>132</v>
      </c>
      <c r="W10" s="1036"/>
      <c r="X10" s="1037" t="s">
        <v>133</v>
      </c>
      <c r="Y10" s="1037" t="s">
        <v>134</v>
      </c>
      <c r="Z10" s="1037" t="s">
        <v>133</v>
      </c>
      <c r="AA10" s="1037" t="s">
        <v>135</v>
      </c>
      <c r="AB10" s="1037" t="s">
        <v>136</v>
      </c>
      <c r="AC10" s="1038" t="s">
        <v>137</v>
      </c>
    </row>
    <row r="11" spans="2:32" ht="12.75" customHeight="1">
      <c r="B11" s="1026"/>
      <c r="C11" s="1027"/>
      <c r="D11" s="1028"/>
      <c r="E11" s="1027"/>
      <c r="F11" s="1029"/>
      <c r="G11" s="1039" t="s">
        <v>19</v>
      </c>
      <c r="H11" s="1039" t="s">
        <v>20</v>
      </c>
      <c r="I11" s="1040" t="s">
        <v>21</v>
      </c>
      <c r="J11" s="1041" t="s">
        <v>22</v>
      </c>
      <c r="K11" s="1039" t="s">
        <v>23</v>
      </c>
      <c r="L11" s="149" t="s">
        <v>24</v>
      </c>
      <c r="M11" s="1042" t="s">
        <v>25</v>
      </c>
      <c r="N11" s="1039" t="s">
        <v>26</v>
      </c>
      <c r="O11" s="1040" t="s">
        <v>27</v>
      </c>
      <c r="P11" s="1042" t="s">
        <v>28</v>
      </c>
      <c r="Q11" s="1039" t="s">
        <v>29</v>
      </c>
      <c r="R11" s="1040" t="s">
        <v>30</v>
      </c>
      <c r="S11" s="1027"/>
      <c r="T11" s="1029"/>
      <c r="U11" s="1034" t="s">
        <v>272</v>
      </c>
      <c r="V11" s="1043" t="s">
        <v>139</v>
      </c>
      <c r="W11" s="1044"/>
      <c r="X11" s="1037" t="s">
        <v>140</v>
      </c>
      <c r="Y11" s="1037" t="s">
        <v>141</v>
      </c>
      <c r="Z11" s="1037" t="s">
        <v>142</v>
      </c>
      <c r="AA11" s="1037" t="s">
        <v>143</v>
      </c>
      <c r="AB11" s="1037" t="s">
        <v>141</v>
      </c>
      <c r="AC11" s="1038" t="s">
        <v>144</v>
      </c>
    </row>
    <row r="12" spans="2:32" ht="12.75" customHeight="1">
      <c r="B12" s="1045"/>
      <c r="C12" s="1046"/>
      <c r="D12" s="1047"/>
      <c r="E12" s="1046"/>
      <c r="F12" s="1048"/>
      <c r="G12" s="1039"/>
      <c r="H12" s="1039"/>
      <c r="I12" s="1040"/>
      <c r="J12" s="1041"/>
      <c r="K12" s="1039"/>
      <c r="L12" s="149"/>
      <c r="M12" s="1042"/>
      <c r="N12" s="1039"/>
      <c r="O12" s="1040"/>
      <c r="P12" s="1042"/>
      <c r="Q12" s="1039"/>
      <c r="R12" s="1040"/>
      <c r="S12" s="1049" t="s">
        <v>31</v>
      </c>
      <c r="T12" s="1037" t="s">
        <v>31</v>
      </c>
      <c r="U12" s="1034" t="s">
        <v>32</v>
      </c>
      <c r="V12" s="226"/>
      <c r="W12" s="1049"/>
      <c r="X12" s="1037" t="s">
        <v>32</v>
      </c>
      <c r="Y12" s="1037" t="s">
        <v>32</v>
      </c>
      <c r="Z12" s="1037" t="s">
        <v>31</v>
      </c>
      <c r="AA12" s="1037" t="s">
        <v>32</v>
      </c>
      <c r="AB12" s="1037" t="s">
        <v>32</v>
      </c>
      <c r="AC12" s="1038"/>
      <c r="AE12" s="1009">
        <f>SUM(G16:R16)</f>
        <v>69</v>
      </c>
    </row>
    <row r="13" spans="2:32" s="1056" customFormat="1" ht="9.75" customHeight="1">
      <c r="B13" s="1050">
        <v>1</v>
      </c>
      <c r="C13" s="137"/>
      <c r="D13" s="136">
        <v>2</v>
      </c>
      <c r="E13" s="137"/>
      <c r="F13" s="138">
        <v>3</v>
      </c>
      <c r="G13" s="139">
        <v>4</v>
      </c>
      <c r="H13" s="138">
        <v>5</v>
      </c>
      <c r="I13" s="1051">
        <v>6</v>
      </c>
      <c r="J13" s="138">
        <v>7</v>
      </c>
      <c r="K13" s="138">
        <v>8</v>
      </c>
      <c r="L13" s="1052">
        <v>9</v>
      </c>
      <c r="M13" s="135">
        <v>10</v>
      </c>
      <c r="N13" s="138">
        <v>11</v>
      </c>
      <c r="O13" s="1051">
        <v>12</v>
      </c>
      <c r="P13" s="135">
        <v>13</v>
      </c>
      <c r="Q13" s="138">
        <v>14</v>
      </c>
      <c r="R13" s="1051">
        <v>15</v>
      </c>
      <c r="S13" s="138">
        <v>16</v>
      </c>
      <c r="T13" s="139">
        <v>17</v>
      </c>
      <c r="U13" s="1053">
        <v>18</v>
      </c>
      <c r="V13" s="1054">
        <v>7</v>
      </c>
      <c r="W13" s="137"/>
      <c r="X13" s="139">
        <v>8</v>
      </c>
      <c r="Y13" s="139">
        <v>9</v>
      </c>
      <c r="Z13" s="139">
        <v>10</v>
      </c>
      <c r="AA13" s="139">
        <v>11</v>
      </c>
      <c r="AB13" s="139">
        <v>12</v>
      </c>
      <c r="AC13" s="1055">
        <v>13</v>
      </c>
    </row>
    <row r="14" spans="2:32" ht="9" customHeight="1">
      <c r="B14" s="1057"/>
      <c r="C14" s="1058"/>
      <c r="D14" s="1059"/>
      <c r="E14" s="1060"/>
      <c r="F14" s="1060"/>
      <c r="G14" s="1037"/>
      <c r="H14" s="1049"/>
      <c r="I14" s="1061"/>
      <c r="J14" s="1049"/>
      <c r="K14" s="1049"/>
      <c r="L14" s="226"/>
      <c r="M14" s="1062"/>
      <c r="N14" s="1049"/>
      <c r="O14" s="1061"/>
      <c r="P14" s="1062"/>
      <c r="Q14" s="1049"/>
      <c r="R14" s="1061"/>
      <c r="S14" s="1060"/>
      <c r="T14" s="1063"/>
      <c r="U14" s="1064"/>
      <c r="V14" s="226"/>
      <c r="W14" s="1060"/>
      <c r="X14" s="1063"/>
      <c r="Y14" s="1063"/>
      <c r="Z14" s="1063"/>
      <c r="AA14" s="1063"/>
      <c r="AB14" s="1063"/>
      <c r="AC14" s="1065"/>
    </row>
    <row r="15" spans="2:32" ht="25.5" customHeight="1">
      <c r="B15" s="1066" t="s">
        <v>273</v>
      </c>
      <c r="C15" s="144"/>
      <c r="D15" s="157"/>
      <c r="E15" s="144"/>
      <c r="F15" s="144"/>
      <c r="G15" s="1067"/>
      <c r="H15" s="1068"/>
      <c r="I15" s="1069"/>
      <c r="J15" s="1068"/>
      <c r="K15" s="1068"/>
      <c r="L15" s="1070"/>
      <c r="M15" s="1071"/>
      <c r="N15" s="1068"/>
      <c r="O15" s="1069"/>
      <c r="P15" s="1071"/>
      <c r="Q15" s="1068"/>
      <c r="R15" s="1069"/>
      <c r="S15" s="1072">
        <f>SUM(S16:S52)</f>
        <v>6591790000</v>
      </c>
      <c r="T15" s="145"/>
      <c r="U15" s="1073">
        <f>SUM(U16:U52)</f>
        <v>100</v>
      </c>
      <c r="V15" s="1074"/>
      <c r="W15" s="1075"/>
      <c r="X15" s="1076"/>
      <c r="Y15" s="1076" t="e">
        <f>Y16+#REF!+#REF!+#REF!+#REF!+#REF!+#REF!+#REF!+#REF!+#REF!</f>
        <v>#REF!</v>
      </c>
      <c r="Z15" s="1076" t="e">
        <f>Z16+#REF!+#REF!+#REF!+#REF!+#REF!+#REF!+#REF!+#REF!+#REF!</f>
        <v>#REF!</v>
      </c>
      <c r="AA15" s="1076">
        <v>0</v>
      </c>
      <c r="AB15" s="1076" t="e">
        <f>AB16+#REF!+#REF!+#REF!+#REF!+#REF!+#REF!+#REF!</f>
        <v>#REF!</v>
      </c>
      <c r="AC15" s="1065"/>
      <c r="AF15" s="1077">
        <f>S15-481679740</f>
        <v>6110110260</v>
      </c>
    </row>
    <row r="16" spans="2:32" s="1096" customFormat="1" ht="27" customHeight="1">
      <c r="B16" s="1078" t="s">
        <v>274</v>
      </c>
      <c r="C16" s="1079" t="s">
        <v>275</v>
      </c>
      <c r="D16" s="1080">
        <v>69</v>
      </c>
      <c r="E16" s="1081" t="s">
        <v>276</v>
      </c>
      <c r="F16" s="1082" t="s">
        <v>277</v>
      </c>
      <c r="G16" s="1083">
        <v>0</v>
      </c>
      <c r="H16" s="1084">
        <v>20</v>
      </c>
      <c r="I16" s="1085">
        <v>4</v>
      </c>
      <c r="J16" s="1086">
        <v>6</v>
      </c>
      <c r="K16" s="1086">
        <v>6</v>
      </c>
      <c r="L16" s="1086">
        <v>6</v>
      </c>
      <c r="M16" s="1086">
        <v>6</v>
      </c>
      <c r="N16" s="1086">
        <v>6</v>
      </c>
      <c r="O16" s="1086">
        <v>6</v>
      </c>
      <c r="P16" s="1086">
        <v>6</v>
      </c>
      <c r="Q16" s="1084">
        <v>3</v>
      </c>
      <c r="R16" s="1085">
        <v>0</v>
      </c>
      <c r="S16" s="1087">
        <v>433800000</v>
      </c>
      <c r="T16" s="1088">
        <v>0</v>
      </c>
      <c r="U16" s="1089">
        <f>S16/$S$15*100</f>
        <v>6.5809135303157404</v>
      </c>
      <c r="V16" s="1090">
        <v>0</v>
      </c>
      <c r="W16" s="1091" t="s">
        <v>148</v>
      </c>
      <c r="X16" s="1092">
        <f>V16/D16*100</f>
        <v>0</v>
      </c>
      <c r="Y16" s="1092">
        <f>X16*U16/100</f>
        <v>0</v>
      </c>
      <c r="Z16" s="1088">
        <f>SUM(Z17:Z18)</f>
        <v>0</v>
      </c>
      <c r="AA16" s="1092">
        <f>Z16/S16*100</f>
        <v>0</v>
      </c>
      <c r="AB16" s="1092">
        <f>AA16*U16/100</f>
        <v>0</v>
      </c>
      <c r="AC16" s="1093"/>
      <c r="AD16" s="1094">
        <f>SUM(G16:R16)</f>
        <v>69</v>
      </c>
      <c r="AE16" s="1095" t="e">
        <f>S16+S21+S47+#REF!+S26+S32+S37</f>
        <v>#REF!</v>
      </c>
    </row>
    <row r="17" spans="2:32" s="1096" customFormat="1" ht="12.75" customHeight="1">
      <c r="B17" s="1097" t="s">
        <v>66</v>
      </c>
      <c r="C17" s="1098" t="s">
        <v>278</v>
      </c>
      <c r="D17" s="1099"/>
      <c r="E17" s="1100"/>
      <c r="F17" s="1098"/>
      <c r="G17" s="1101">
        <f>G16/$D$16*100</f>
        <v>0</v>
      </c>
      <c r="H17" s="1102">
        <f>H16/$D$16*100</f>
        <v>28.985507246376812</v>
      </c>
      <c r="I17" s="1103">
        <f>I16/$D$16*100</f>
        <v>5.7971014492753623</v>
      </c>
      <c r="J17" s="1102">
        <f>J16/$D$16*100</f>
        <v>8.695652173913043</v>
      </c>
      <c r="K17" s="1102">
        <f t="shared" ref="K17:R17" si="0">K16/$D$16*100</f>
        <v>8.695652173913043</v>
      </c>
      <c r="L17" s="1104">
        <f t="shared" si="0"/>
        <v>8.695652173913043</v>
      </c>
      <c r="M17" s="1105">
        <f>M16/$D$16*100</f>
        <v>8.695652173913043</v>
      </c>
      <c r="N17" s="1102">
        <f t="shared" si="0"/>
        <v>8.695652173913043</v>
      </c>
      <c r="O17" s="1103">
        <f t="shared" si="0"/>
        <v>8.695652173913043</v>
      </c>
      <c r="P17" s="1105">
        <f t="shared" si="0"/>
        <v>8.695652173913043</v>
      </c>
      <c r="Q17" s="1102">
        <f t="shared" si="0"/>
        <v>4.3478260869565215</v>
      </c>
      <c r="R17" s="1103">
        <f t="shared" si="0"/>
        <v>0</v>
      </c>
      <c r="S17" s="1106"/>
      <c r="T17" s="1107"/>
      <c r="U17" s="1108"/>
      <c r="V17" s="1109"/>
      <c r="W17" s="1110"/>
      <c r="X17" s="1111"/>
      <c r="Y17" s="1112"/>
      <c r="Z17" s="1113">
        <v>0</v>
      </c>
      <c r="AA17" s="1111" t="e">
        <f>Z17/S17*100</f>
        <v>#DIV/0!</v>
      </c>
      <c r="AB17" s="1111" t="e">
        <f>AA17*U17/100</f>
        <v>#DIV/0!</v>
      </c>
      <c r="AC17" s="1114"/>
      <c r="AD17" s="1115">
        <f>SUM(G17:R17)</f>
        <v>100.00000000000001</v>
      </c>
    </row>
    <row r="18" spans="2:32" s="1096" customFormat="1" ht="12.75" customHeight="1">
      <c r="B18" s="1097" t="s">
        <v>67</v>
      </c>
      <c r="C18" s="1116" t="s">
        <v>279</v>
      </c>
      <c r="D18" s="1099"/>
      <c r="E18" s="1100"/>
      <c r="F18" s="1098"/>
      <c r="G18" s="1101">
        <f>SUM($G$17)</f>
        <v>0</v>
      </c>
      <c r="H18" s="1102">
        <f>SUM($G$17:H17)</f>
        <v>28.985507246376812</v>
      </c>
      <c r="I18" s="1103">
        <f>SUM($G$17:I17)</f>
        <v>34.782608695652172</v>
      </c>
      <c r="J18" s="1102">
        <f>SUM($G$17:J17)</f>
        <v>43.478260869565219</v>
      </c>
      <c r="K18" s="1102">
        <f>SUM($G$17:K17)</f>
        <v>52.173913043478265</v>
      </c>
      <c r="L18" s="1104">
        <f>SUM($G$17:L17)</f>
        <v>60.869565217391312</v>
      </c>
      <c r="M18" s="1105">
        <f>SUM($G$17:M17)</f>
        <v>69.565217391304358</v>
      </c>
      <c r="N18" s="1102">
        <f>SUM($G$17:N17)</f>
        <v>78.260869565217405</v>
      </c>
      <c r="O18" s="1103">
        <f>SUM($G$17:O17)</f>
        <v>86.956521739130451</v>
      </c>
      <c r="P18" s="1105">
        <f>SUM($G$17:P17)</f>
        <v>95.652173913043498</v>
      </c>
      <c r="Q18" s="1102">
        <f>SUM($G$17:Q17)</f>
        <v>100.00000000000001</v>
      </c>
      <c r="R18" s="1103">
        <f>SUM($G$17:R17)</f>
        <v>100.00000000000001</v>
      </c>
      <c r="S18" s="1110"/>
      <c r="T18" s="1113"/>
      <c r="U18" s="1108"/>
      <c r="V18" s="1109"/>
      <c r="W18" s="1110"/>
      <c r="X18" s="1111"/>
      <c r="Y18" s="1112"/>
      <c r="Z18" s="1113">
        <v>0</v>
      </c>
      <c r="AA18" s="1111" t="e">
        <f>Z18/S18*100</f>
        <v>#DIV/0!</v>
      </c>
      <c r="AB18" s="1111" t="e">
        <f>AA18*U18/100</f>
        <v>#DIV/0!</v>
      </c>
      <c r="AC18" s="1114"/>
      <c r="AD18" s="1115"/>
    </row>
    <row r="19" spans="2:32" s="1096" customFormat="1" ht="12.75" customHeight="1">
      <c r="B19" s="1097" t="s">
        <v>68</v>
      </c>
      <c r="C19" s="1098" t="s">
        <v>280</v>
      </c>
      <c r="D19" s="1099"/>
      <c r="E19" s="1100"/>
      <c r="F19" s="1098"/>
      <c r="G19" s="1101">
        <f>G17*$U$16/100</f>
        <v>0</v>
      </c>
      <c r="H19" s="1102">
        <f>H17*$U$16/100</f>
        <v>1.9075111682074608</v>
      </c>
      <c r="I19" s="1103">
        <f>I17*$U$16/100</f>
        <v>0.38150223364149222</v>
      </c>
      <c r="J19" s="1102">
        <f>J17*$U$16/100</f>
        <v>0.57225335046223824</v>
      </c>
      <c r="K19" s="1102">
        <f t="shared" ref="K19:R19" si="1">K17*$U$16/100</f>
        <v>0.57225335046223824</v>
      </c>
      <c r="L19" s="1104">
        <f t="shared" si="1"/>
        <v>0.57225335046223824</v>
      </c>
      <c r="M19" s="1105">
        <f t="shared" si="1"/>
        <v>0.57225335046223824</v>
      </c>
      <c r="N19" s="1102">
        <f t="shared" si="1"/>
        <v>0.57225335046223824</v>
      </c>
      <c r="O19" s="1103">
        <f t="shared" si="1"/>
        <v>0.57225335046223824</v>
      </c>
      <c r="P19" s="1105">
        <f t="shared" si="1"/>
        <v>0.57225335046223824</v>
      </c>
      <c r="Q19" s="1102">
        <f t="shared" si="1"/>
        <v>0.28612667523111912</v>
      </c>
      <c r="R19" s="1103">
        <f t="shared" si="1"/>
        <v>0</v>
      </c>
      <c r="S19" s="1110"/>
      <c r="T19" s="1113"/>
      <c r="U19" s="1108"/>
      <c r="V19" s="1109"/>
      <c r="W19" s="1110"/>
      <c r="X19" s="1111"/>
      <c r="Y19" s="1112"/>
      <c r="Z19" s="1113"/>
      <c r="AA19" s="1111"/>
      <c r="AB19" s="1117"/>
      <c r="AC19" s="1114"/>
      <c r="AD19" s="1115">
        <f>SUM(H19:R19)</f>
        <v>6.5809135303157413</v>
      </c>
    </row>
    <row r="20" spans="2:32" s="1096" customFormat="1" ht="7.5" customHeight="1">
      <c r="B20" s="1118"/>
      <c r="C20" s="1119"/>
      <c r="D20" s="1099"/>
      <c r="E20" s="1100"/>
      <c r="F20" s="1098"/>
      <c r="G20" s="1120"/>
      <c r="H20" s="1116"/>
      <c r="I20" s="1121"/>
      <c r="J20" s="1116"/>
      <c r="K20" s="1116"/>
      <c r="L20" s="1122"/>
      <c r="M20" s="1123"/>
      <c r="N20" s="1116"/>
      <c r="O20" s="1121"/>
      <c r="P20" s="1123"/>
      <c r="Q20" s="1116"/>
      <c r="R20" s="1121"/>
      <c r="S20" s="1110"/>
      <c r="T20" s="1113"/>
      <c r="U20" s="1108"/>
      <c r="V20" s="1109"/>
      <c r="W20" s="1110"/>
      <c r="X20" s="1111"/>
      <c r="Y20" s="1112"/>
      <c r="Z20" s="1111"/>
      <c r="AA20" s="1111"/>
      <c r="AB20" s="1124"/>
      <c r="AC20" s="1114"/>
      <c r="AD20" s="1115"/>
    </row>
    <row r="21" spans="2:32" s="1096" customFormat="1" ht="24" customHeight="1">
      <c r="B21" s="1078" t="s">
        <v>281</v>
      </c>
      <c r="C21" s="1079" t="s">
        <v>275</v>
      </c>
      <c r="D21" s="1080">
        <v>2</v>
      </c>
      <c r="E21" s="1081" t="s">
        <v>276</v>
      </c>
      <c r="F21" s="1082" t="s">
        <v>282</v>
      </c>
      <c r="G21" s="1125">
        <v>0</v>
      </c>
      <c r="H21" s="1126">
        <v>0</v>
      </c>
      <c r="I21" s="1127" t="s">
        <v>283</v>
      </c>
      <c r="J21" s="1128" t="s">
        <v>283</v>
      </c>
      <c r="K21" s="1128" t="s">
        <v>283</v>
      </c>
      <c r="L21" s="1128" t="s">
        <v>283</v>
      </c>
      <c r="M21" s="1128" t="s">
        <v>283</v>
      </c>
      <c r="N21" s="1128">
        <v>2</v>
      </c>
      <c r="O21" s="1128" t="s">
        <v>283</v>
      </c>
      <c r="P21" s="1128" t="s">
        <v>283</v>
      </c>
      <c r="Q21" s="1128" t="s">
        <v>283</v>
      </c>
      <c r="R21" s="1128" t="s">
        <v>283</v>
      </c>
      <c r="S21" s="1129">
        <v>88122000</v>
      </c>
      <c r="T21" s="1088">
        <v>0</v>
      </c>
      <c r="U21" s="1089">
        <f>S21/$S$15*100</f>
        <v>1.3368447720573622</v>
      </c>
      <c r="V21" s="1090">
        <v>1</v>
      </c>
      <c r="W21" s="1091" t="s">
        <v>148</v>
      </c>
      <c r="X21" s="1092">
        <f>V21/D21*100</f>
        <v>50</v>
      </c>
      <c r="Y21" s="1092">
        <f>X21*U21/100</f>
        <v>0.66842238602868109</v>
      </c>
      <c r="Z21" s="1088" t="e">
        <f>SUM(Z22:Z55)</f>
        <v>#REF!</v>
      </c>
      <c r="AA21" s="1092" t="e">
        <f>Z21/S21*100</f>
        <v>#REF!</v>
      </c>
      <c r="AB21" s="1092" t="e">
        <f>AA21*U21/100</f>
        <v>#REF!</v>
      </c>
      <c r="AC21" s="1130"/>
      <c r="AD21" s="1115">
        <f>SUM(G21:R21)</f>
        <v>2</v>
      </c>
      <c r="AE21" s="1096">
        <f>SUM(G21:R21)</f>
        <v>2</v>
      </c>
      <c r="AF21" s="1096">
        <v>900000</v>
      </c>
    </row>
    <row r="22" spans="2:32" s="1096" customFormat="1" ht="12.75" customHeight="1">
      <c r="B22" s="1097" t="s">
        <v>66</v>
      </c>
      <c r="C22" s="1098" t="s">
        <v>278</v>
      </c>
      <c r="D22" s="1099"/>
      <c r="E22" s="1100"/>
      <c r="F22" s="1098"/>
      <c r="G22" s="1101">
        <f>G21/$D$21*100</f>
        <v>0</v>
      </c>
      <c r="H22" s="1131">
        <f t="shared" ref="H22:R22" si="2">H21/$D$21*100</f>
        <v>0</v>
      </c>
      <c r="I22" s="1103">
        <f t="shared" si="2"/>
        <v>0</v>
      </c>
      <c r="J22" s="1102">
        <f>J21/$D$21*100</f>
        <v>0</v>
      </c>
      <c r="K22" s="1102">
        <f t="shared" si="2"/>
        <v>0</v>
      </c>
      <c r="L22" s="1104">
        <f t="shared" si="2"/>
        <v>0</v>
      </c>
      <c r="M22" s="1105">
        <f>M21/$D$21*100</f>
        <v>0</v>
      </c>
      <c r="N22" s="1102">
        <f t="shared" si="2"/>
        <v>100</v>
      </c>
      <c r="O22" s="1103">
        <f t="shared" si="2"/>
        <v>0</v>
      </c>
      <c r="P22" s="1105">
        <f t="shared" si="2"/>
        <v>0</v>
      </c>
      <c r="Q22" s="1102">
        <f t="shared" si="2"/>
        <v>0</v>
      </c>
      <c r="R22" s="1103">
        <f t="shared" si="2"/>
        <v>0</v>
      </c>
      <c r="S22" s="1106"/>
      <c r="T22" s="1107"/>
      <c r="U22" s="1108"/>
      <c r="V22" s="1109"/>
      <c r="W22" s="1110"/>
      <c r="X22" s="1111"/>
      <c r="Y22" s="1112"/>
      <c r="Z22" s="1113">
        <v>0</v>
      </c>
      <c r="AA22" s="1111" t="e">
        <f>Z22/S22*100</f>
        <v>#DIV/0!</v>
      </c>
      <c r="AB22" s="1111" t="e">
        <f>AA22*U22/100</f>
        <v>#DIV/0!</v>
      </c>
      <c r="AC22" s="1130"/>
      <c r="AD22" s="1115">
        <f>SUM(G22:R22)</f>
        <v>100</v>
      </c>
      <c r="AF22" s="1096">
        <v>150000</v>
      </c>
    </row>
    <row r="23" spans="2:32" s="1096" customFormat="1" ht="12.75" customHeight="1">
      <c r="B23" s="1097" t="s">
        <v>67</v>
      </c>
      <c r="C23" s="1116" t="s">
        <v>279</v>
      </c>
      <c r="D23" s="1099"/>
      <c r="E23" s="1100"/>
      <c r="F23" s="1098"/>
      <c r="G23" s="1101">
        <f>SUM($G$22)</f>
        <v>0</v>
      </c>
      <c r="H23" s="1102">
        <f>SUM($G$22:H22)</f>
        <v>0</v>
      </c>
      <c r="I23" s="1103">
        <f>SUM($G$22:I22)</f>
        <v>0</v>
      </c>
      <c r="J23" s="1102">
        <f>SUM($G$22:J22)</f>
        <v>0</v>
      </c>
      <c r="K23" s="1102">
        <f>SUM($G$22:K22)</f>
        <v>0</v>
      </c>
      <c r="L23" s="1104">
        <f>SUM($G$22:L22)</f>
        <v>0</v>
      </c>
      <c r="M23" s="1105">
        <f>SUM($G$22:M22)</f>
        <v>0</v>
      </c>
      <c r="N23" s="1102">
        <f>SUM($G$22:N22)</f>
        <v>100</v>
      </c>
      <c r="O23" s="1103">
        <f>SUM($G$22:O22)</f>
        <v>100</v>
      </c>
      <c r="P23" s="1105">
        <f>SUM($G$22:P22)</f>
        <v>100</v>
      </c>
      <c r="Q23" s="1102">
        <f>SUM($G$22:Q22)</f>
        <v>100</v>
      </c>
      <c r="R23" s="1103">
        <f>SUM($G$22:R22)</f>
        <v>100</v>
      </c>
      <c r="S23" s="1110"/>
      <c r="T23" s="1113"/>
      <c r="U23" s="1108"/>
      <c r="V23" s="1109"/>
      <c r="W23" s="1110"/>
      <c r="X23" s="1111"/>
      <c r="Y23" s="1112"/>
      <c r="Z23" s="1113">
        <v>0</v>
      </c>
      <c r="AA23" s="1111" t="e">
        <f>Z23/S23*100</f>
        <v>#DIV/0!</v>
      </c>
      <c r="AB23" s="1111" t="e">
        <f>AA23*U23/100</f>
        <v>#DIV/0!</v>
      </c>
      <c r="AC23" s="1130"/>
      <c r="AD23" s="1115">
        <f>SUM(G23:R23)</f>
        <v>500</v>
      </c>
      <c r="AF23" s="1096">
        <v>690000</v>
      </c>
    </row>
    <row r="24" spans="2:32" s="1096" customFormat="1" ht="12.75" customHeight="1">
      <c r="B24" s="1097" t="s">
        <v>68</v>
      </c>
      <c r="C24" s="1098" t="s">
        <v>280</v>
      </c>
      <c r="D24" s="1099"/>
      <c r="E24" s="1100"/>
      <c r="F24" s="1098"/>
      <c r="G24" s="1101">
        <f>G22*$U$21/100</f>
        <v>0</v>
      </c>
      <c r="H24" s="1102">
        <f>H22*$U$21/100</f>
        <v>0</v>
      </c>
      <c r="I24" s="1103">
        <f t="shared" ref="I24:R24" si="3">I22*$U$21/100</f>
        <v>0</v>
      </c>
      <c r="J24" s="1102">
        <f t="shared" si="3"/>
        <v>0</v>
      </c>
      <c r="K24" s="1102">
        <f t="shared" si="3"/>
        <v>0</v>
      </c>
      <c r="L24" s="1104">
        <f t="shared" si="3"/>
        <v>0</v>
      </c>
      <c r="M24" s="1105">
        <f t="shared" si="3"/>
        <v>0</v>
      </c>
      <c r="N24" s="1102">
        <f t="shared" si="3"/>
        <v>1.3368447720573622</v>
      </c>
      <c r="O24" s="1103">
        <f t="shared" si="3"/>
        <v>0</v>
      </c>
      <c r="P24" s="1105">
        <f t="shared" si="3"/>
        <v>0</v>
      </c>
      <c r="Q24" s="1102">
        <f t="shared" si="3"/>
        <v>0</v>
      </c>
      <c r="R24" s="1103">
        <f t="shared" si="3"/>
        <v>0</v>
      </c>
      <c r="S24" s="1110"/>
      <c r="T24" s="1113"/>
      <c r="U24" s="1108"/>
      <c r="V24" s="1109"/>
      <c r="W24" s="1110"/>
      <c r="X24" s="1111"/>
      <c r="Y24" s="1112"/>
      <c r="Z24" s="1113"/>
      <c r="AA24" s="1111"/>
      <c r="AB24" s="1111"/>
      <c r="AC24" s="1130"/>
      <c r="AD24" s="1115"/>
      <c r="AF24" s="1096">
        <v>13872000</v>
      </c>
    </row>
    <row r="25" spans="2:32" s="1096" customFormat="1" ht="7.5" customHeight="1">
      <c r="B25" s="1118"/>
      <c r="C25" s="1119"/>
      <c r="D25" s="1099"/>
      <c r="E25" s="1100"/>
      <c r="F25" s="1098"/>
      <c r="G25" s="1120"/>
      <c r="H25" s="1116"/>
      <c r="I25" s="1121"/>
      <c r="J25" s="1116"/>
      <c r="K25" s="1116"/>
      <c r="L25" s="1122"/>
      <c r="M25" s="1123"/>
      <c r="N25" s="1116"/>
      <c r="O25" s="1121"/>
      <c r="P25" s="1123"/>
      <c r="Q25" s="1116"/>
      <c r="R25" s="1121"/>
      <c r="S25" s="1110"/>
      <c r="T25" s="1113"/>
      <c r="U25" s="1108"/>
      <c r="V25" s="1109"/>
      <c r="W25" s="1110"/>
      <c r="X25" s="1111"/>
      <c r="Y25" s="1112"/>
      <c r="Z25" s="1111"/>
      <c r="AA25" s="1111"/>
      <c r="AB25" s="1124"/>
      <c r="AC25" s="1130"/>
      <c r="AD25" s="1115"/>
      <c r="AF25" s="1096">
        <v>4600000</v>
      </c>
    </row>
    <row r="26" spans="2:32" s="1096" customFormat="1" ht="16.5" customHeight="1">
      <c r="B26" s="1132" t="s">
        <v>284</v>
      </c>
      <c r="C26" s="1079" t="s">
        <v>275</v>
      </c>
      <c r="D26" s="1080">
        <v>15</v>
      </c>
      <c r="E26" s="1081" t="s">
        <v>276</v>
      </c>
      <c r="F26" s="1082" t="s">
        <v>285</v>
      </c>
      <c r="G26" s="1125">
        <v>0</v>
      </c>
      <c r="H26" s="1084">
        <v>10</v>
      </c>
      <c r="I26" s="1133">
        <v>5</v>
      </c>
      <c r="J26" s="1084">
        <v>0</v>
      </c>
      <c r="K26" s="1084">
        <v>0</v>
      </c>
      <c r="L26" s="1085">
        <v>0</v>
      </c>
      <c r="M26" s="1086">
        <v>0</v>
      </c>
      <c r="N26" s="1084">
        <v>0</v>
      </c>
      <c r="O26" s="1133">
        <v>0</v>
      </c>
      <c r="P26" s="1086">
        <v>0</v>
      </c>
      <c r="Q26" s="1084">
        <v>0</v>
      </c>
      <c r="R26" s="1133">
        <v>0</v>
      </c>
      <c r="S26" s="1134">
        <v>404750000</v>
      </c>
      <c r="T26" s="1088">
        <v>0</v>
      </c>
      <c r="U26" s="1089">
        <f>S26/$S$15*100</f>
        <v>6.1402138114229974</v>
      </c>
      <c r="V26" s="1090">
        <v>1</v>
      </c>
      <c r="W26" s="1091" t="s">
        <v>148</v>
      </c>
      <c r="X26" s="1092">
        <f>V26/D26*100</f>
        <v>6.666666666666667</v>
      </c>
      <c r="Y26" s="1092">
        <f>X26*U26/100</f>
        <v>0.40934758742819988</v>
      </c>
      <c r="Z26" s="1088" t="e">
        <f>SUM(Z28:Z60)</f>
        <v>#REF!</v>
      </c>
      <c r="AA26" s="1092" t="e">
        <f>Z26/S26*100</f>
        <v>#REF!</v>
      </c>
      <c r="AB26" s="1092" t="e">
        <f>AA26*U26/100</f>
        <v>#REF!</v>
      </c>
      <c r="AC26" s="1130"/>
      <c r="AD26" s="1115">
        <f>SUM(G26:R26)</f>
        <v>15</v>
      </c>
      <c r="AF26" s="1096">
        <v>8900000</v>
      </c>
    </row>
    <row r="27" spans="2:32" s="1096" customFormat="1" ht="15.75" customHeight="1">
      <c r="B27" s="1135"/>
      <c r="C27" s="1136"/>
      <c r="D27" s="1099"/>
      <c r="E27" s="1137"/>
      <c r="F27" s="1138"/>
      <c r="G27" s="1139"/>
      <c r="H27" s="1140"/>
      <c r="I27" s="1141"/>
      <c r="J27" s="1140"/>
      <c r="K27" s="1142"/>
      <c r="L27" s="1143"/>
      <c r="M27" s="1144"/>
      <c r="N27" s="1140"/>
      <c r="O27" s="1141"/>
      <c r="P27" s="1145"/>
      <c r="Q27" s="1138"/>
      <c r="R27" s="1146"/>
      <c r="S27" s="1110"/>
      <c r="T27" s="1113"/>
      <c r="U27" s="1108"/>
      <c r="V27" s="1109"/>
      <c r="W27" s="1110"/>
      <c r="X27" s="1111"/>
      <c r="Y27" s="1111"/>
      <c r="Z27" s="1113"/>
      <c r="AA27" s="1111"/>
      <c r="AB27" s="1111"/>
      <c r="AC27" s="1130"/>
      <c r="AD27" s="1115">
        <f>SUM(G27:R27)</f>
        <v>0</v>
      </c>
      <c r="AF27" s="1096">
        <f>SUM(AF21:AF26)</f>
        <v>29112000</v>
      </c>
    </row>
    <row r="28" spans="2:32" s="1096" customFormat="1" ht="12.75" customHeight="1">
      <c r="B28" s="1097" t="s">
        <v>66</v>
      </c>
      <c r="C28" s="1098" t="s">
        <v>278</v>
      </c>
      <c r="D28" s="1099"/>
      <c r="E28" s="1100"/>
      <c r="F28" s="1098"/>
      <c r="G28" s="1101">
        <f>G26/$D$26*100</f>
        <v>0</v>
      </c>
      <c r="H28" s="1102">
        <f>H26/$D$26*100</f>
        <v>66.666666666666657</v>
      </c>
      <c r="I28" s="1103">
        <f t="shared" ref="I28:R28" si="4">I26/$D$26*100</f>
        <v>33.333333333333329</v>
      </c>
      <c r="J28" s="1102">
        <f t="shared" si="4"/>
        <v>0</v>
      </c>
      <c r="K28" s="1102">
        <f t="shared" si="4"/>
        <v>0</v>
      </c>
      <c r="L28" s="1104">
        <f t="shared" si="4"/>
        <v>0</v>
      </c>
      <c r="M28" s="1105">
        <f t="shared" si="4"/>
        <v>0</v>
      </c>
      <c r="N28" s="1102">
        <f t="shared" si="4"/>
        <v>0</v>
      </c>
      <c r="O28" s="1103">
        <f t="shared" si="4"/>
        <v>0</v>
      </c>
      <c r="P28" s="1105">
        <f t="shared" si="4"/>
        <v>0</v>
      </c>
      <c r="Q28" s="1102">
        <f t="shared" si="4"/>
        <v>0</v>
      </c>
      <c r="R28" s="1103">
        <f t="shared" si="4"/>
        <v>0</v>
      </c>
      <c r="S28" s="1106"/>
      <c r="T28" s="1107"/>
      <c r="U28" s="1108"/>
      <c r="V28" s="1109"/>
      <c r="W28" s="1110"/>
      <c r="X28" s="1111"/>
      <c r="Y28" s="1112"/>
      <c r="Z28" s="1113">
        <v>0</v>
      </c>
      <c r="AA28" s="1111" t="e">
        <f>Z28/S28*100</f>
        <v>#DIV/0!</v>
      </c>
      <c r="AB28" s="1111" t="e">
        <f>AA28*U28/100</f>
        <v>#DIV/0!</v>
      </c>
      <c r="AC28" s="1130"/>
      <c r="AD28" s="1115">
        <f>SUM(G28:R28)</f>
        <v>99.999999999999986</v>
      </c>
    </row>
    <row r="29" spans="2:32" s="1096" customFormat="1" ht="12.75" customHeight="1">
      <c r="B29" s="1097" t="s">
        <v>67</v>
      </c>
      <c r="C29" s="1116" t="s">
        <v>279</v>
      </c>
      <c r="D29" s="1099"/>
      <c r="E29" s="1100"/>
      <c r="F29" s="1098"/>
      <c r="G29" s="1101">
        <f>SUM($G$28)</f>
        <v>0</v>
      </c>
      <c r="H29" s="1102">
        <f>SUM($G$28:H28)</f>
        <v>66.666666666666657</v>
      </c>
      <c r="I29" s="1103">
        <f>SUM($G$28:$I$28)</f>
        <v>99.999999999999986</v>
      </c>
      <c r="J29" s="1102">
        <f>SUM($G$28:J28)</f>
        <v>99.999999999999986</v>
      </c>
      <c r="K29" s="1102">
        <f>SUM($G$28:$K$28)</f>
        <v>99.999999999999986</v>
      </c>
      <c r="L29" s="1104">
        <f>SUM($G$28:L28)</f>
        <v>99.999999999999986</v>
      </c>
      <c r="M29" s="1105">
        <f>SUM($G$28:$M$28)</f>
        <v>99.999999999999986</v>
      </c>
      <c r="N29" s="1102">
        <f>SUM($G$28:N28)</f>
        <v>99.999999999999986</v>
      </c>
      <c r="O29" s="1103">
        <f>SUM($G$28:$O$28)</f>
        <v>99.999999999999986</v>
      </c>
      <c r="P29" s="1105">
        <f>SUM($G$28:P28)</f>
        <v>99.999999999999986</v>
      </c>
      <c r="Q29" s="1102">
        <f>SUM($G$28:$Q$28)</f>
        <v>99.999999999999986</v>
      </c>
      <c r="R29" s="1103">
        <f>SUM($G$28:R28)</f>
        <v>99.999999999999986</v>
      </c>
      <c r="S29" s="1110"/>
      <c r="T29" s="1113"/>
      <c r="U29" s="1108"/>
      <c r="V29" s="1109"/>
      <c r="W29" s="1110"/>
      <c r="X29" s="1111"/>
      <c r="Y29" s="1112"/>
      <c r="Z29" s="1113">
        <v>0</v>
      </c>
      <c r="AA29" s="1111" t="e">
        <f>Z29/S29*100</f>
        <v>#DIV/0!</v>
      </c>
      <c r="AB29" s="1111" t="e">
        <f>AA29*U29/100</f>
        <v>#DIV/0!</v>
      </c>
      <c r="AC29" s="1130"/>
      <c r="AD29" s="1115"/>
    </row>
    <row r="30" spans="2:32" s="1096" customFormat="1" ht="12.75" customHeight="1">
      <c r="B30" s="1097" t="s">
        <v>68</v>
      </c>
      <c r="C30" s="1098" t="s">
        <v>280</v>
      </c>
      <c r="D30" s="1099"/>
      <c r="E30" s="1100"/>
      <c r="F30" s="1098"/>
      <c r="G30" s="1101">
        <f>G28*$U$26/100</f>
        <v>0</v>
      </c>
      <c r="H30" s="1102">
        <f>H28*$U$26/100</f>
        <v>4.0934758742819977</v>
      </c>
      <c r="I30" s="1103">
        <f t="shared" ref="I30:R30" si="5">I28*$U$26/100</f>
        <v>2.0467379371409988</v>
      </c>
      <c r="J30" s="1102">
        <f t="shared" si="5"/>
        <v>0</v>
      </c>
      <c r="K30" s="1102">
        <f t="shared" si="5"/>
        <v>0</v>
      </c>
      <c r="L30" s="1104">
        <f t="shared" si="5"/>
        <v>0</v>
      </c>
      <c r="M30" s="1105">
        <f t="shared" si="5"/>
        <v>0</v>
      </c>
      <c r="N30" s="1102">
        <f t="shared" si="5"/>
        <v>0</v>
      </c>
      <c r="O30" s="1103">
        <f t="shared" si="5"/>
        <v>0</v>
      </c>
      <c r="P30" s="1105">
        <f t="shared" si="5"/>
        <v>0</v>
      </c>
      <c r="Q30" s="1102">
        <f t="shared" si="5"/>
        <v>0</v>
      </c>
      <c r="R30" s="1103">
        <f t="shared" si="5"/>
        <v>0</v>
      </c>
      <c r="S30" s="1110"/>
      <c r="T30" s="1113"/>
      <c r="U30" s="1108"/>
      <c r="V30" s="1109"/>
      <c r="W30" s="1110"/>
      <c r="X30" s="1111"/>
      <c r="Y30" s="1112"/>
      <c r="Z30" s="1113"/>
      <c r="AA30" s="1111"/>
      <c r="AB30" s="1111"/>
      <c r="AC30" s="1130"/>
      <c r="AD30" s="1115"/>
    </row>
    <row r="31" spans="2:32" s="1096" customFormat="1" ht="7.5" customHeight="1">
      <c r="B31" s="1118"/>
      <c r="C31" s="1119"/>
      <c r="D31" s="1099"/>
      <c r="E31" s="1100"/>
      <c r="F31" s="1098"/>
      <c r="G31" s="1120"/>
      <c r="H31" s="1116"/>
      <c r="I31" s="1121"/>
      <c r="J31" s="1116"/>
      <c r="K31" s="1116"/>
      <c r="L31" s="1122"/>
      <c r="M31" s="1123"/>
      <c r="N31" s="1116"/>
      <c r="O31" s="1121"/>
      <c r="P31" s="1123"/>
      <c r="Q31" s="1116"/>
      <c r="R31" s="1121"/>
      <c r="S31" s="1110"/>
      <c r="T31" s="1113"/>
      <c r="U31" s="1108"/>
      <c r="V31" s="1109"/>
      <c r="W31" s="1110"/>
      <c r="X31" s="1111"/>
      <c r="Y31" s="1112"/>
      <c r="Z31" s="1111"/>
      <c r="AA31" s="1111"/>
      <c r="AB31" s="1147"/>
      <c r="AC31" s="1130"/>
      <c r="AD31" s="1115"/>
    </row>
    <row r="32" spans="2:32" s="1096" customFormat="1" ht="27" customHeight="1">
      <c r="B32" s="1078" t="s">
        <v>286</v>
      </c>
      <c r="C32" s="1079" t="s">
        <v>275</v>
      </c>
      <c r="D32" s="1080">
        <v>50</v>
      </c>
      <c r="E32" s="1081" t="s">
        <v>276</v>
      </c>
      <c r="F32" s="1082" t="s">
        <v>287</v>
      </c>
      <c r="G32" s="1125">
        <v>0</v>
      </c>
      <c r="H32" s="1084">
        <v>40</v>
      </c>
      <c r="I32" s="1133">
        <v>10</v>
      </c>
      <c r="J32" s="1084">
        <v>0</v>
      </c>
      <c r="K32" s="1084">
        <v>0</v>
      </c>
      <c r="L32" s="1085">
        <v>0</v>
      </c>
      <c r="M32" s="1086">
        <v>0</v>
      </c>
      <c r="N32" s="1084">
        <v>0</v>
      </c>
      <c r="O32" s="1133">
        <v>0</v>
      </c>
      <c r="P32" s="1086">
        <v>0</v>
      </c>
      <c r="Q32" s="1084">
        <v>0</v>
      </c>
      <c r="R32" s="1133">
        <v>0</v>
      </c>
      <c r="S32" s="1134">
        <v>1183750000</v>
      </c>
      <c r="T32" s="1088">
        <v>0</v>
      </c>
      <c r="U32" s="1089">
        <f>S32/$S$15*100</f>
        <v>17.957944655397093</v>
      </c>
      <c r="V32" s="1090">
        <v>1</v>
      </c>
      <c r="W32" s="1091" t="s">
        <v>148</v>
      </c>
      <c r="X32" s="1092">
        <f>V32/D32*100</f>
        <v>2</v>
      </c>
      <c r="Y32" s="1092">
        <f>X32*U32/100</f>
        <v>0.35915889310794186</v>
      </c>
      <c r="Z32" s="1088" t="e">
        <f>SUM(Z33:Z65)</f>
        <v>#REF!</v>
      </c>
      <c r="AA32" s="1092" t="e">
        <f>Z32/S32*100</f>
        <v>#REF!</v>
      </c>
      <c r="AB32" s="1092" t="e">
        <f>AA32*U32/100</f>
        <v>#REF!</v>
      </c>
      <c r="AC32" s="1130"/>
      <c r="AD32" s="1115">
        <f>SUM(G32:R32)</f>
        <v>50</v>
      </c>
    </row>
    <row r="33" spans="2:30" s="1096" customFormat="1" ht="12.75" customHeight="1">
      <c r="B33" s="1097" t="s">
        <v>66</v>
      </c>
      <c r="C33" s="1098" t="s">
        <v>278</v>
      </c>
      <c r="D33" s="1099"/>
      <c r="E33" s="1100"/>
      <c r="F33" s="1098"/>
      <c r="G33" s="1101">
        <f>G32/$D$32*100</f>
        <v>0</v>
      </c>
      <c r="H33" s="1102">
        <f>H32/$D$32*100</f>
        <v>80</v>
      </c>
      <c r="I33" s="1103">
        <f>I32/$D$32*100</f>
        <v>20</v>
      </c>
      <c r="J33" s="1102">
        <f t="shared" ref="J33:R33" si="6">J32/$D$32*100</f>
        <v>0</v>
      </c>
      <c r="K33" s="1102">
        <f t="shared" si="6"/>
        <v>0</v>
      </c>
      <c r="L33" s="1104">
        <f t="shared" si="6"/>
        <v>0</v>
      </c>
      <c r="M33" s="1105">
        <f t="shared" si="6"/>
        <v>0</v>
      </c>
      <c r="N33" s="1102">
        <f t="shared" si="6"/>
        <v>0</v>
      </c>
      <c r="O33" s="1103">
        <f t="shared" si="6"/>
        <v>0</v>
      </c>
      <c r="P33" s="1105">
        <f t="shared" si="6"/>
        <v>0</v>
      </c>
      <c r="Q33" s="1102">
        <f t="shared" si="6"/>
        <v>0</v>
      </c>
      <c r="R33" s="1103">
        <f t="shared" si="6"/>
        <v>0</v>
      </c>
      <c r="S33" s="1106"/>
      <c r="T33" s="1107"/>
      <c r="U33" s="1108"/>
      <c r="V33" s="1109"/>
      <c r="W33" s="1110"/>
      <c r="X33" s="1111"/>
      <c r="Y33" s="1112"/>
      <c r="Z33" s="1113">
        <v>0</v>
      </c>
      <c r="AA33" s="1111" t="e">
        <f>Z33/S33*100</f>
        <v>#DIV/0!</v>
      </c>
      <c r="AB33" s="1111" t="e">
        <f>AA33*U33/100</f>
        <v>#DIV/0!</v>
      </c>
      <c r="AC33" s="1130"/>
      <c r="AD33" s="1115"/>
    </row>
    <row r="34" spans="2:30" s="1096" customFormat="1" ht="12.75" customHeight="1">
      <c r="B34" s="1097" t="s">
        <v>67</v>
      </c>
      <c r="C34" s="1116" t="s">
        <v>279</v>
      </c>
      <c r="D34" s="1099"/>
      <c r="E34" s="1100"/>
      <c r="F34" s="1098"/>
      <c r="G34" s="1101">
        <f>SUM($G$33)</f>
        <v>0</v>
      </c>
      <c r="H34" s="1102">
        <f>SUM($G$33:H33)</f>
        <v>80</v>
      </c>
      <c r="I34" s="1103">
        <f>SUM($G$33:I33)</f>
        <v>100</v>
      </c>
      <c r="J34" s="1102">
        <f>SUM($G$33:J33)</f>
        <v>100</v>
      </c>
      <c r="K34" s="1102">
        <f>SUM($G$33:K33)</f>
        <v>100</v>
      </c>
      <c r="L34" s="1104">
        <f>SUM($G$33:L33)</f>
        <v>100</v>
      </c>
      <c r="M34" s="1105">
        <f>SUM($G$33:M33)</f>
        <v>100</v>
      </c>
      <c r="N34" s="1102">
        <f>SUM($G$33:N33)</f>
        <v>100</v>
      </c>
      <c r="O34" s="1103">
        <f>SUM($G$33:O33)</f>
        <v>100</v>
      </c>
      <c r="P34" s="1105">
        <f>SUM($G$33:P33)</f>
        <v>100</v>
      </c>
      <c r="Q34" s="1102">
        <f>SUM($G$33:Q33)</f>
        <v>100</v>
      </c>
      <c r="R34" s="1103">
        <f>SUM($G$33:R33)</f>
        <v>100</v>
      </c>
      <c r="S34" s="1110"/>
      <c r="T34" s="1113"/>
      <c r="U34" s="1108"/>
      <c r="V34" s="1109"/>
      <c r="W34" s="1110"/>
      <c r="X34" s="1111"/>
      <c r="Y34" s="1112"/>
      <c r="Z34" s="1113">
        <v>0</v>
      </c>
      <c r="AA34" s="1111" t="e">
        <f>Z34/S34*100</f>
        <v>#DIV/0!</v>
      </c>
      <c r="AB34" s="1111" t="e">
        <f>AA34*U34/100</f>
        <v>#DIV/0!</v>
      </c>
      <c r="AC34" s="1130"/>
      <c r="AD34" s="1115"/>
    </row>
    <row r="35" spans="2:30" s="1096" customFormat="1" ht="12.75" customHeight="1">
      <c r="B35" s="1097" t="s">
        <v>68</v>
      </c>
      <c r="C35" s="1098" t="s">
        <v>280</v>
      </c>
      <c r="D35" s="1099"/>
      <c r="E35" s="1100"/>
      <c r="F35" s="1098"/>
      <c r="G35" s="1101">
        <f>G33*$U$32/100</f>
        <v>0</v>
      </c>
      <c r="H35" s="1102">
        <f t="shared" ref="H35:R35" si="7">H33*$U$32/100</f>
        <v>14.366355724317673</v>
      </c>
      <c r="I35" s="1103">
        <f t="shared" si="7"/>
        <v>3.5915889310794182</v>
      </c>
      <c r="J35" s="1102">
        <f t="shared" si="7"/>
        <v>0</v>
      </c>
      <c r="K35" s="1102">
        <f t="shared" si="7"/>
        <v>0</v>
      </c>
      <c r="L35" s="1104">
        <f t="shared" si="7"/>
        <v>0</v>
      </c>
      <c r="M35" s="1105">
        <f t="shared" si="7"/>
        <v>0</v>
      </c>
      <c r="N35" s="1102">
        <f t="shared" si="7"/>
        <v>0</v>
      </c>
      <c r="O35" s="1103">
        <f t="shared" si="7"/>
        <v>0</v>
      </c>
      <c r="P35" s="1105">
        <f t="shared" si="7"/>
        <v>0</v>
      </c>
      <c r="Q35" s="1102">
        <f t="shared" si="7"/>
        <v>0</v>
      </c>
      <c r="R35" s="1103">
        <f t="shared" si="7"/>
        <v>0</v>
      </c>
      <c r="S35" s="1110"/>
      <c r="T35" s="1113"/>
      <c r="U35" s="1108"/>
      <c r="V35" s="1109"/>
      <c r="W35" s="1110"/>
      <c r="X35" s="1111"/>
      <c r="Y35" s="1112"/>
      <c r="Z35" s="1113"/>
      <c r="AA35" s="1111"/>
      <c r="AB35" s="1111"/>
      <c r="AC35" s="1130"/>
      <c r="AD35" s="1115"/>
    </row>
    <row r="36" spans="2:30" s="1096" customFormat="1" ht="7.5" customHeight="1">
      <c r="B36" s="1118"/>
      <c r="C36" s="1119"/>
      <c r="D36" s="1099"/>
      <c r="E36" s="1100"/>
      <c r="F36" s="1098"/>
      <c r="G36" s="1120"/>
      <c r="H36" s="1116"/>
      <c r="I36" s="1121"/>
      <c r="J36" s="1116"/>
      <c r="K36" s="1116"/>
      <c r="L36" s="1122"/>
      <c r="M36" s="1123"/>
      <c r="N36" s="1116"/>
      <c r="O36" s="1121"/>
      <c r="P36" s="1123"/>
      <c r="Q36" s="1116"/>
      <c r="R36" s="1121"/>
      <c r="S36" s="1110"/>
      <c r="T36" s="1113"/>
      <c r="U36" s="1108"/>
      <c r="V36" s="1109"/>
      <c r="W36" s="1110"/>
      <c r="X36" s="1111"/>
      <c r="Y36" s="1112"/>
      <c r="Z36" s="1111"/>
      <c r="AA36" s="1111"/>
      <c r="AB36" s="1147"/>
      <c r="AC36" s="1130"/>
      <c r="AD36" s="1115"/>
    </row>
    <row r="37" spans="2:30" s="1096" customFormat="1" ht="16.5" customHeight="1">
      <c r="B37" s="1132" t="s">
        <v>288</v>
      </c>
      <c r="C37" s="1079" t="s">
        <v>275</v>
      </c>
      <c r="D37" s="1080">
        <v>356</v>
      </c>
      <c r="E37" s="1081" t="s">
        <v>276</v>
      </c>
      <c r="F37" s="1082" t="s">
        <v>277</v>
      </c>
      <c r="G37" s="1083">
        <v>0</v>
      </c>
      <c r="H37" s="1084">
        <v>0</v>
      </c>
      <c r="I37" s="1133">
        <v>120</v>
      </c>
      <c r="J37" s="1084">
        <v>120</v>
      </c>
      <c r="K37" s="1084">
        <v>116</v>
      </c>
      <c r="L37" s="1085">
        <v>0</v>
      </c>
      <c r="M37" s="1086">
        <v>0</v>
      </c>
      <c r="N37" s="1084">
        <v>0</v>
      </c>
      <c r="O37" s="1133">
        <v>0</v>
      </c>
      <c r="P37" s="1086"/>
      <c r="Q37" s="1084"/>
      <c r="R37" s="1133">
        <v>0</v>
      </c>
      <c r="S37" s="1134">
        <v>3309376000</v>
      </c>
      <c r="T37" s="1088">
        <v>0</v>
      </c>
      <c r="U37" s="1089">
        <f>S37/$S$15*100</f>
        <v>50.204511976261379</v>
      </c>
      <c r="V37" s="1090">
        <v>1</v>
      </c>
      <c r="W37" s="1091" t="s">
        <v>148</v>
      </c>
      <c r="X37" s="1092">
        <f>V37/D37*100</f>
        <v>0.2808988764044944</v>
      </c>
      <c r="Y37" s="1092">
        <f>X37*U37/100</f>
        <v>0.14102391004567805</v>
      </c>
      <c r="Z37" s="1088" t="e">
        <f>SUM(Z39:Z70)</f>
        <v>#REF!</v>
      </c>
      <c r="AA37" s="1092" t="e">
        <f>Z37/S37*100</f>
        <v>#REF!</v>
      </c>
      <c r="AB37" s="1092" t="e">
        <f>AA37*U37/100</f>
        <v>#REF!</v>
      </c>
      <c r="AC37" s="1130"/>
      <c r="AD37" s="1115">
        <f>SUM(G37:R37)</f>
        <v>356</v>
      </c>
    </row>
    <row r="38" spans="2:30" s="1096" customFormat="1" ht="12.75" customHeight="1">
      <c r="B38" s="1135"/>
      <c r="C38" s="1136"/>
      <c r="D38" s="1099"/>
      <c r="E38" s="1137"/>
      <c r="F38" s="1138"/>
      <c r="G38" s="1139"/>
      <c r="H38" s="1102"/>
      <c r="I38" s="1103"/>
      <c r="J38" s="1140"/>
      <c r="K38" s="1138"/>
      <c r="L38" s="1143"/>
      <c r="M38" s="1144"/>
      <c r="N38" s="1140"/>
      <c r="O38" s="1141"/>
      <c r="P38" s="1145"/>
      <c r="Q38" s="1138"/>
      <c r="R38" s="1146"/>
      <c r="S38" s="1110"/>
      <c r="T38" s="1113"/>
      <c r="U38" s="1108"/>
      <c r="V38" s="1109"/>
      <c r="W38" s="1110"/>
      <c r="X38" s="1111"/>
      <c r="Y38" s="1111"/>
      <c r="Z38" s="1113"/>
      <c r="AA38" s="1111"/>
      <c r="AB38" s="1111"/>
      <c r="AC38" s="1130"/>
      <c r="AD38" s="1115">
        <f>SUM(G38:R38)</f>
        <v>0</v>
      </c>
    </row>
    <row r="39" spans="2:30" s="1096" customFormat="1" ht="12.75" customHeight="1">
      <c r="B39" s="1097" t="s">
        <v>66</v>
      </c>
      <c r="C39" s="1098" t="s">
        <v>278</v>
      </c>
      <c r="D39" s="1099"/>
      <c r="E39" s="1100"/>
      <c r="F39" s="1098"/>
      <c r="G39" s="1101">
        <f>G37/$D$37*100</f>
        <v>0</v>
      </c>
      <c r="H39" s="1131">
        <f>H37/$D$37*100</f>
        <v>0</v>
      </c>
      <c r="I39" s="1103">
        <f t="shared" ref="I39:R39" si="8">I37/$D$37*100</f>
        <v>33.707865168539328</v>
      </c>
      <c r="J39" s="1102">
        <f t="shared" si="8"/>
        <v>33.707865168539328</v>
      </c>
      <c r="K39" s="1102">
        <f t="shared" si="8"/>
        <v>32.584269662921351</v>
      </c>
      <c r="L39" s="1104">
        <f t="shared" si="8"/>
        <v>0</v>
      </c>
      <c r="M39" s="1105">
        <f t="shared" si="8"/>
        <v>0</v>
      </c>
      <c r="N39" s="1102">
        <f t="shared" si="8"/>
        <v>0</v>
      </c>
      <c r="O39" s="1103">
        <f t="shared" si="8"/>
        <v>0</v>
      </c>
      <c r="P39" s="1105">
        <f t="shared" si="8"/>
        <v>0</v>
      </c>
      <c r="Q39" s="1102">
        <f t="shared" si="8"/>
        <v>0</v>
      </c>
      <c r="R39" s="1103">
        <f t="shared" si="8"/>
        <v>0</v>
      </c>
      <c r="S39" s="1106"/>
      <c r="T39" s="1107"/>
      <c r="U39" s="1108"/>
      <c r="V39" s="1109"/>
      <c r="W39" s="1110"/>
      <c r="X39" s="1111"/>
      <c r="Y39" s="1112"/>
      <c r="Z39" s="1113">
        <v>0</v>
      </c>
      <c r="AA39" s="1111" t="e">
        <f>Z39/S39*100</f>
        <v>#DIV/0!</v>
      </c>
      <c r="AB39" s="1111" t="e">
        <f>AA39*U39/100</f>
        <v>#DIV/0!</v>
      </c>
      <c r="AC39" s="1130"/>
      <c r="AD39" s="1115">
        <f>SUM(G39:R39)</f>
        <v>100</v>
      </c>
    </row>
    <row r="40" spans="2:30" s="1096" customFormat="1" ht="12.75" customHeight="1">
      <c r="B40" s="1097" t="s">
        <v>67</v>
      </c>
      <c r="C40" s="1116" t="s">
        <v>279</v>
      </c>
      <c r="D40" s="1099"/>
      <c r="E40" s="1100"/>
      <c r="F40" s="1098"/>
      <c r="G40" s="1101">
        <f>SUM($G$39)</f>
        <v>0</v>
      </c>
      <c r="H40" s="1131">
        <f>SUM($G$39:H39)</f>
        <v>0</v>
      </c>
      <c r="I40" s="1103">
        <f>SUM($G$39:$I$39)</f>
        <v>33.707865168539328</v>
      </c>
      <c r="J40" s="1102">
        <f>SUM($G$39:J39)</f>
        <v>67.415730337078656</v>
      </c>
      <c r="K40" s="1102">
        <f>SUM($G$39:$K$39)</f>
        <v>100</v>
      </c>
      <c r="L40" s="1104">
        <f>SUM($G$39:L39)</f>
        <v>100</v>
      </c>
      <c r="M40" s="1105">
        <f>SUM($G$39:$M$39)</f>
        <v>100</v>
      </c>
      <c r="N40" s="1102">
        <f>SUM($G$39:N39)</f>
        <v>100</v>
      </c>
      <c r="O40" s="1103">
        <f>SUM($G$39:$O$39)</f>
        <v>100</v>
      </c>
      <c r="P40" s="1105">
        <f>SUM($G$39:P39)</f>
        <v>100</v>
      </c>
      <c r="Q40" s="1102">
        <f>SUM($G$39:$Q$39)</f>
        <v>100</v>
      </c>
      <c r="R40" s="1103">
        <f>SUM($G$39:R39)</f>
        <v>100</v>
      </c>
      <c r="S40" s="1110"/>
      <c r="T40" s="1113"/>
      <c r="U40" s="1108"/>
      <c r="V40" s="1109"/>
      <c r="W40" s="1110"/>
      <c r="X40" s="1111"/>
      <c r="Y40" s="1112"/>
      <c r="Z40" s="1113">
        <v>0</v>
      </c>
      <c r="AA40" s="1111" t="e">
        <f>Z40/S40*100</f>
        <v>#DIV/0!</v>
      </c>
      <c r="AB40" s="1111" t="e">
        <f>AA40*U40/100</f>
        <v>#DIV/0!</v>
      </c>
      <c r="AC40" s="1130"/>
      <c r="AD40" s="1115"/>
    </row>
    <row r="41" spans="2:30" s="1096" customFormat="1" ht="12.75" customHeight="1">
      <c r="B41" s="1097" t="s">
        <v>68</v>
      </c>
      <c r="C41" s="1098" t="s">
        <v>280</v>
      </c>
      <c r="D41" s="1099"/>
      <c r="E41" s="1100"/>
      <c r="F41" s="1098"/>
      <c r="G41" s="1101">
        <f>G39*$U$37/100</f>
        <v>0</v>
      </c>
      <c r="H41" s="1131">
        <f t="shared" ref="H41:R41" si="9">H39*$U$37/100</f>
        <v>0</v>
      </c>
      <c r="I41" s="1103">
        <f t="shared" si="9"/>
        <v>16.922869205481366</v>
      </c>
      <c r="J41" s="1102">
        <f t="shared" si="9"/>
        <v>16.922869205481366</v>
      </c>
      <c r="K41" s="1102">
        <f t="shared" si="9"/>
        <v>16.358773565298652</v>
      </c>
      <c r="L41" s="1104">
        <f t="shared" si="9"/>
        <v>0</v>
      </c>
      <c r="M41" s="1105">
        <f t="shared" si="9"/>
        <v>0</v>
      </c>
      <c r="N41" s="1102">
        <f t="shared" si="9"/>
        <v>0</v>
      </c>
      <c r="O41" s="1103">
        <f t="shared" si="9"/>
        <v>0</v>
      </c>
      <c r="P41" s="1105">
        <f t="shared" si="9"/>
        <v>0</v>
      </c>
      <c r="Q41" s="1102">
        <f t="shared" si="9"/>
        <v>0</v>
      </c>
      <c r="R41" s="1103">
        <f t="shared" si="9"/>
        <v>0</v>
      </c>
      <c r="S41" s="1110"/>
      <c r="T41" s="1113"/>
      <c r="U41" s="1108"/>
      <c r="V41" s="1109"/>
      <c r="W41" s="1110"/>
      <c r="X41" s="1111"/>
      <c r="Y41" s="1112"/>
      <c r="Z41" s="1113"/>
      <c r="AA41" s="1111"/>
      <c r="AB41" s="1111"/>
      <c r="AC41" s="1130"/>
      <c r="AD41" s="1115"/>
    </row>
    <row r="42" spans="2:30" s="1096" customFormat="1" ht="7.5" customHeight="1" thickBot="1">
      <c r="B42" s="1148"/>
      <c r="C42" s="1149"/>
      <c r="D42" s="1150"/>
      <c r="E42" s="1151"/>
      <c r="F42" s="1152"/>
      <c r="G42" s="1153"/>
      <c r="H42" s="1154"/>
      <c r="I42" s="1155"/>
      <c r="J42" s="1154"/>
      <c r="K42" s="1154"/>
      <c r="L42" s="1156"/>
      <c r="M42" s="1157"/>
      <c r="N42" s="1154"/>
      <c r="O42" s="1155"/>
      <c r="P42" s="1157"/>
      <c r="Q42" s="1154"/>
      <c r="R42" s="1155"/>
      <c r="S42" s="1158"/>
      <c r="T42" s="1159"/>
      <c r="U42" s="1160"/>
      <c r="V42" s="1109"/>
      <c r="W42" s="1110"/>
      <c r="X42" s="1111"/>
      <c r="Y42" s="1112"/>
      <c r="Z42" s="1111"/>
      <c r="AA42" s="1111"/>
      <c r="AB42" s="1147"/>
      <c r="AC42" s="1130"/>
      <c r="AD42" s="1115"/>
    </row>
    <row r="43" spans="2:30" s="1096" customFormat="1" ht="7.5" customHeight="1">
      <c r="B43" s="1118"/>
      <c r="C43" s="1119"/>
      <c r="D43" s="1099"/>
      <c r="E43" s="1100"/>
      <c r="F43" s="1098"/>
      <c r="G43" s="1120"/>
      <c r="H43" s="1116"/>
      <c r="I43" s="1121"/>
      <c r="J43" s="1116"/>
      <c r="K43" s="1116"/>
      <c r="L43" s="1122"/>
      <c r="M43" s="1123"/>
      <c r="N43" s="1116"/>
      <c r="O43" s="1121"/>
      <c r="P43" s="1123"/>
      <c r="Q43" s="1116"/>
      <c r="R43" s="1121"/>
      <c r="S43" s="1110"/>
      <c r="T43" s="1113"/>
      <c r="U43" s="1108"/>
      <c r="V43" s="1109"/>
      <c r="W43" s="1110"/>
      <c r="X43" s="1111"/>
      <c r="Y43" s="1112"/>
      <c r="Z43" s="1111"/>
      <c r="AA43" s="1111"/>
      <c r="AB43" s="1147"/>
      <c r="AC43" s="1130"/>
      <c r="AD43" s="1115"/>
    </row>
    <row r="44" spans="2:30" s="1096" customFormat="1" ht="7.5" customHeight="1">
      <c r="B44" s="1118"/>
      <c r="C44" s="1119"/>
      <c r="D44" s="1099"/>
      <c r="E44" s="1100"/>
      <c r="F44" s="1098"/>
      <c r="G44" s="1120"/>
      <c r="H44" s="1116"/>
      <c r="I44" s="1121"/>
      <c r="J44" s="1116"/>
      <c r="K44" s="1116"/>
      <c r="L44" s="1122"/>
      <c r="M44" s="1123"/>
      <c r="N44" s="1116"/>
      <c r="O44" s="1121"/>
      <c r="P44" s="1123"/>
      <c r="Q44" s="1116"/>
      <c r="R44" s="1121"/>
      <c r="S44" s="1110"/>
      <c r="T44" s="1113"/>
      <c r="U44" s="1108"/>
      <c r="V44" s="1109"/>
      <c r="W44" s="1110"/>
      <c r="X44" s="1111"/>
      <c r="Y44" s="1112"/>
      <c r="Z44" s="1111"/>
      <c r="AA44" s="1111"/>
      <c r="AB44" s="1147"/>
      <c r="AC44" s="1130"/>
      <c r="AD44" s="1115"/>
    </row>
    <row r="45" spans="2:30" s="1096" customFormat="1" ht="7.5" customHeight="1">
      <c r="B45" s="1118"/>
      <c r="C45" s="1119"/>
      <c r="D45" s="1099"/>
      <c r="E45" s="1100"/>
      <c r="F45" s="1098"/>
      <c r="G45" s="1120"/>
      <c r="H45" s="1116"/>
      <c r="I45" s="1121"/>
      <c r="J45" s="1116"/>
      <c r="K45" s="1116"/>
      <c r="L45" s="1122"/>
      <c r="M45" s="1123"/>
      <c r="N45" s="1116"/>
      <c r="O45" s="1121"/>
      <c r="P45" s="1123"/>
      <c r="Q45" s="1116"/>
      <c r="R45" s="1121"/>
      <c r="S45" s="1110"/>
      <c r="T45" s="1113"/>
      <c r="U45" s="1108"/>
      <c r="V45" s="1109"/>
      <c r="W45" s="1110"/>
      <c r="X45" s="1111"/>
      <c r="Y45" s="1112"/>
      <c r="Z45" s="1111"/>
      <c r="AA45" s="1111"/>
      <c r="AB45" s="1147"/>
      <c r="AC45" s="1130"/>
      <c r="AD45" s="1115"/>
    </row>
    <row r="46" spans="2:30" s="1096" customFormat="1" ht="7.5" customHeight="1">
      <c r="B46" s="1118"/>
      <c r="C46" s="1119"/>
      <c r="D46" s="1099"/>
      <c r="E46" s="1100"/>
      <c r="F46" s="1098"/>
      <c r="G46" s="1120"/>
      <c r="H46" s="1116"/>
      <c r="I46" s="1121"/>
      <c r="J46" s="1116"/>
      <c r="K46" s="1116"/>
      <c r="L46" s="1122"/>
      <c r="M46" s="1123"/>
      <c r="N46" s="1116"/>
      <c r="O46" s="1121"/>
      <c r="P46" s="1123"/>
      <c r="Q46" s="1116"/>
      <c r="R46" s="1121"/>
      <c r="S46" s="1110"/>
      <c r="T46" s="1113"/>
      <c r="U46" s="1108"/>
      <c r="V46" s="1109"/>
      <c r="W46" s="1110"/>
      <c r="X46" s="1111"/>
      <c r="Y46" s="1112"/>
      <c r="Z46" s="1111"/>
      <c r="AA46" s="1111"/>
      <c r="AB46" s="1147"/>
      <c r="AC46" s="1130"/>
      <c r="AD46" s="1115"/>
    </row>
    <row r="47" spans="2:30" s="1096" customFormat="1" ht="12.75" customHeight="1">
      <c r="B47" s="1135" t="s">
        <v>289</v>
      </c>
      <c r="C47" s="1136" t="s">
        <v>275</v>
      </c>
      <c r="D47" s="1161">
        <v>1000</v>
      </c>
      <c r="E47" s="1162" t="s">
        <v>276</v>
      </c>
      <c r="F47" s="1163" t="s">
        <v>287</v>
      </c>
      <c r="G47" s="1125"/>
      <c r="H47" s="1084">
        <v>60</v>
      </c>
      <c r="I47" s="1133">
        <v>210</v>
      </c>
      <c r="J47" s="1084">
        <v>160</v>
      </c>
      <c r="K47" s="1084">
        <v>0</v>
      </c>
      <c r="L47" s="1085">
        <v>40</v>
      </c>
      <c r="M47" s="1086">
        <v>150</v>
      </c>
      <c r="N47" s="1084">
        <v>200</v>
      </c>
      <c r="O47" s="1133">
        <v>120</v>
      </c>
      <c r="P47" s="1086">
        <v>60</v>
      </c>
      <c r="Q47" s="1084">
        <v>0</v>
      </c>
      <c r="R47" s="1133"/>
      <c r="S47" s="1164">
        <v>1171992000</v>
      </c>
      <c r="T47" s="1165">
        <v>0</v>
      </c>
      <c r="U47" s="1166">
        <f>S47/$S$15*100</f>
        <v>17.779571254545427</v>
      </c>
      <c r="V47" s="1090">
        <v>1</v>
      </c>
      <c r="W47" s="1091" t="s">
        <v>148</v>
      </c>
      <c r="X47" s="1092">
        <f>V47/D47*100</f>
        <v>0.1</v>
      </c>
      <c r="Y47" s="1092">
        <f>X47*U47/100</f>
        <v>1.7779571254545427E-2</v>
      </c>
      <c r="Z47" s="1088" t="e">
        <f>SUM(Z49:Z55)</f>
        <v>#REF!</v>
      </c>
      <c r="AA47" s="1092" t="e">
        <f>Z47/S47*100</f>
        <v>#REF!</v>
      </c>
      <c r="AB47" s="1092" t="e">
        <f>AA47*U47/100</f>
        <v>#REF!</v>
      </c>
      <c r="AC47" s="1130"/>
      <c r="AD47" s="1115">
        <f>SUM(G47:R47)</f>
        <v>1000</v>
      </c>
    </row>
    <row r="48" spans="2:30" s="1096" customFormat="1" ht="12.75" customHeight="1">
      <c r="B48" s="1135" t="s">
        <v>290</v>
      </c>
      <c r="C48" s="1136"/>
      <c r="D48" s="1099"/>
      <c r="E48" s="1137"/>
      <c r="F48" s="1138"/>
      <c r="G48" s="1139"/>
      <c r="H48" s="1138"/>
      <c r="I48" s="1141"/>
      <c r="J48" s="1138"/>
      <c r="K48" s="1138"/>
      <c r="L48" s="1167"/>
      <c r="M48" s="1144"/>
      <c r="N48" s="1138"/>
      <c r="O48" s="1141"/>
      <c r="P48" s="1144"/>
      <c r="Q48" s="1138"/>
      <c r="R48" s="1141"/>
      <c r="S48" s="1110"/>
      <c r="T48" s="1113"/>
      <c r="U48" s="1108"/>
      <c r="V48" s="1109"/>
      <c r="W48" s="1110"/>
      <c r="X48" s="1111"/>
      <c r="Y48" s="1111"/>
      <c r="Z48" s="1113"/>
      <c r="AA48" s="1111"/>
      <c r="AB48" s="1111"/>
      <c r="AC48" s="1130"/>
      <c r="AD48" s="1115"/>
    </row>
    <row r="49" spans="2:30" s="1096" customFormat="1" ht="12.75" customHeight="1">
      <c r="B49" s="1097" t="s">
        <v>66</v>
      </c>
      <c r="C49" s="1098" t="s">
        <v>278</v>
      </c>
      <c r="D49" s="1099"/>
      <c r="E49" s="1100"/>
      <c r="F49" s="1098"/>
      <c r="G49" s="1101">
        <f>G47/$D$47*100</f>
        <v>0</v>
      </c>
      <c r="H49" s="1102">
        <f>H47/$D$47*100</f>
        <v>6</v>
      </c>
      <c r="I49" s="1103">
        <f t="shared" ref="I49:R49" si="10">I47/$D$47*100</f>
        <v>21</v>
      </c>
      <c r="J49" s="1102">
        <f>J47/$D$47*100</f>
        <v>16</v>
      </c>
      <c r="K49" s="1102">
        <f t="shared" si="10"/>
        <v>0</v>
      </c>
      <c r="L49" s="1104">
        <f>L47/$D$47*100</f>
        <v>4</v>
      </c>
      <c r="M49" s="1105">
        <f t="shared" si="10"/>
        <v>15</v>
      </c>
      <c r="N49" s="1102">
        <f t="shared" si="10"/>
        <v>20</v>
      </c>
      <c r="O49" s="1103">
        <f t="shared" si="10"/>
        <v>12</v>
      </c>
      <c r="P49" s="1105">
        <f t="shared" si="10"/>
        <v>6</v>
      </c>
      <c r="Q49" s="1102">
        <f t="shared" si="10"/>
        <v>0</v>
      </c>
      <c r="R49" s="1103">
        <f t="shared" si="10"/>
        <v>0</v>
      </c>
      <c r="S49" s="1106"/>
      <c r="T49" s="1107"/>
      <c r="U49" s="1108"/>
      <c r="V49" s="1109"/>
      <c r="W49" s="1110"/>
      <c r="X49" s="1111"/>
      <c r="Y49" s="1112"/>
      <c r="Z49" s="1113">
        <v>0</v>
      </c>
      <c r="AA49" s="1111" t="e">
        <f>Z49/S49*100</f>
        <v>#DIV/0!</v>
      </c>
      <c r="AB49" s="1111" t="e">
        <f>AA49*U49/100</f>
        <v>#DIV/0!</v>
      </c>
      <c r="AC49" s="1130"/>
      <c r="AD49" s="1115"/>
    </row>
    <row r="50" spans="2:30" s="1096" customFormat="1" ht="12.75" customHeight="1">
      <c r="B50" s="1097" t="s">
        <v>67</v>
      </c>
      <c r="C50" s="1116" t="s">
        <v>279</v>
      </c>
      <c r="D50" s="1099"/>
      <c r="E50" s="1100"/>
      <c r="F50" s="1098"/>
      <c r="G50" s="1101">
        <f>SUM($G$49)</f>
        <v>0</v>
      </c>
      <c r="H50" s="1102">
        <f>SUM($G$49:H49)</f>
        <v>6</v>
      </c>
      <c r="I50" s="1103">
        <f>SUM($G$49:I49)</f>
        <v>27</v>
      </c>
      <c r="J50" s="1102">
        <f>SUM($G$49:J49)</f>
        <v>43</v>
      </c>
      <c r="K50" s="1102">
        <f>SUM($G$49:K49)</f>
        <v>43</v>
      </c>
      <c r="L50" s="1104">
        <f>SUM($G$49:L49)</f>
        <v>47</v>
      </c>
      <c r="M50" s="1105">
        <f>SUM($G$49:M49)</f>
        <v>62</v>
      </c>
      <c r="N50" s="1102">
        <f>SUM($G$49:N49)</f>
        <v>82</v>
      </c>
      <c r="O50" s="1103">
        <f>SUM($G$49:O49)</f>
        <v>94</v>
      </c>
      <c r="P50" s="1105">
        <f>SUM($G$49:P49)</f>
        <v>100</v>
      </c>
      <c r="Q50" s="1102">
        <f>SUM($G$49:Q49)</f>
        <v>100</v>
      </c>
      <c r="R50" s="1103">
        <f>SUM($G$49:R49)</f>
        <v>100</v>
      </c>
      <c r="S50" s="1110"/>
      <c r="T50" s="1113"/>
      <c r="U50" s="1108"/>
      <c r="V50" s="1109"/>
      <c r="W50" s="1110"/>
      <c r="X50" s="1111"/>
      <c r="Y50" s="1112"/>
      <c r="Z50" s="1113">
        <v>0</v>
      </c>
      <c r="AA50" s="1111" t="e">
        <f>Z50/S50*100</f>
        <v>#DIV/0!</v>
      </c>
      <c r="AB50" s="1111" t="e">
        <f>AA50*U50/100</f>
        <v>#DIV/0!</v>
      </c>
      <c r="AC50" s="1130"/>
      <c r="AD50" s="1115"/>
    </row>
    <row r="51" spans="2:30" s="1096" customFormat="1" ht="12.75" customHeight="1">
      <c r="B51" s="1097" t="s">
        <v>68</v>
      </c>
      <c r="C51" s="1098" t="s">
        <v>280</v>
      </c>
      <c r="D51" s="1099"/>
      <c r="E51" s="1100"/>
      <c r="F51" s="1098"/>
      <c r="G51" s="1101">
        <f>G49*$U$47/100</f>
        <v>0</v>
      </c>
      <c r="H51" s="1102">
        <f t="shared" ref="H51:R51" si="11">H49*$U$47/100</f>
        <v>1.0667742752727256</v>
      </c>
      <c r="I51" s="1103">
        <f t="shared" si="11"/>
        <v>3.7337099634545399</v>
      </c>
      <c r="J51" s="1102">
        <f t="shared" si="11"/>
        <v>2.8447314007272682</v>
      </c>
      <c r="K51" s="1102">
        <f t="shared" si="11"/>
        <v>0</v>
      </c>
      <c r="L51" s="1104">
        <f t="shared" si="11"/>
        <v>0.71118285018181704</v>
      </c>
      <c r="M51" s="1105">
        <f t="shared" si="11"/>
        <v>2.6669356881818143</v>
      </c>
      <c r="N51" s="1102">
        <f t="shared" si="11"/>
        <v>3.5559142509090855</v>
      </c>
      <c r="O51" s="1103">
        <f t="shared" si="11"/>
        <v>2.1335485505454512</v>
      </c>
      <c r="P51" s="1105">
        <f t="shared" si="11"/>
        <v>1.0667742752727256</v>
      </c>
      <c r="Q51" s="1102">
        <f t="shared" si="11"/>
        <v>0</v>
      </c>
      <c r="R51" s="1103">
        <f t="shared" si="11"/>
        <v>0</v>
      </c>
      <c r="S51" s="1110"/>
      <c r="T51" s="1113"/>
      <c r="U51" s="1108"/>
      <c r="V51" s="1109"/>
      <c r="W51" s="1110"/>
      <c r="X51" s="1111"/>
      <c r="Y51" s="1112"/>
      <c r="Z51" s="1113"/>
      <c r="AA51" s="1111"/>
      <c r="AB51" s="1111"/>
      <c r="AC51" s="1130"/>
      <c r="AD51" s="1115"/>
    </row>
    <row r="52" spans="2:30" s="1096" customFormat="1" ht="7.5" customHeight="1">
      <c r="B52" s="1168"/>
      <c r="C52" s="1169"/>
      <c r="D52" s="1170"/>
      <c r="E52" s="1171"/>
      <c r="F52" s="1172"/>
      <c r="G52" s="1173"/>
      <c r="H52" s="1174"/>
      <c r="I52" s="1175"/>
      <c r="J52" s="1174"/>
      <c r="K52" s="1174"/>
      <c r="L52" s="1176"/>
      <c r="M52" s="1177"/>
      <c r="N52" s="1174"/>
      <c r="O52" s="1175"/>
      <c r="P52" s="1177"/>
      <c r="Q52" s="1174"/>
      <c r="R52" s="1175"/>
      <c r="S52" s="1178"/>
      <c r="T52" s="1179"/>
      <c r="U52" s="1180"/>
      <c r="V52" s="1109"/>
      <c r="W52" s="1110"/>
      <c r="X52" s="1111"/>
      <c r="Y52" s="1112"/>
      <c r="Z52" s="1111"/>
      <c r="AA52" s="1111"/>
      <c r="AB52" s="1124"/>
      <c r="AC52" s="1130"/>
      <c r="AD52" s="1115">
        <f t="shared" ref="AD52" si="12">SUM(G52:R52)</f>
        <v>0</v>
      </c>
    </row>
    <row r="53" spans="2:30" ht="12.75" customHeight="1" thickBot="1">
      <c r="B53" s="1181" t="s">
        <v>41</v>
      </c>
      <c r="C53" s="215" t="s">
        <v>291</v>
      </c>
      <c r="D53" s="1182"/>
      <c r="E53" s="1183"/>
      <c r="F53" s="215"/>
      <c r="G53" s="1184">
        <f t="shared" ref="G53:R53" si="13">G19+G24+G30+G35+G41+G51</f>
        <v>0</v>
      </c>
      <c r="H53" s="216">
        <f t="shared" si="13"/>
        <v>21.434117042079855</v>
      </c>
      <c r="I53" s="1185">
        <f t="shared" si="13"/>
        <v>26.676408270797815</v>
      </c>
      <c r="J53" s="216">
        <f t="shared" si="13"/>
        <v>20.339853956670872</v>
      </c>
      <c r="K53" s="216">
        <f t="shared" si="13"/>
        <v>16.931026915760889</v>
      </c>
      <c r="L53" s="1186">
        <f t="shared" si="13"/>
        <v>1.2834362006440552</v>
      </c>
      <c r="M53" s="1187">
        <f t="shared" si="13"/>
        <v>3.2391890386440525</v>
      </c>
      <c r="N53" s="216">
        <f t="shared" si="13"/>
        <v>5.465012373428686</v>
      </c>
      <c r="O53" s="1185">
        <f t="shared" si="13"/>
        <v>2.7058019010076895</v>
      </c>
      <c r="P53" s="1187">
        <f t="shared" si="13"/>
        <v>1.6390276257349639</v>
      </c>
      <c r="Q53" s="216">
        <f t="shared" si="13"/>
        <v>0.28612667523111912</v>
      </c>
      <c r="R53" s="1185">
        <f t="shared" si="13"/>
        <v>0</v>
      </c>
      <c r="S53" s="1188"/>
      <c r="T53" s="217"/>
      <c r="U53" s="1189"/>
      <c r="V53" s="1190"/>
      <c r="W53" s="1191"/>
      <c r="X53" s="1192"/>
      <c r="Y53" s="1192">
        <f>SUM(Y16:Y52)</f>
        <v>1.5957323478650463</v>
      </c>
      <c r="Z53" s="1193" t="e">
        <f>Z15</f>
        <v>#REF!</v>
      </c>
      <c r="AA53" s="1193">
        <f>AA15</f>
        <v>0</v>
      </c>
      <c r="AB53" s="1194" t="e">
        <f>AB16+#REF!+#REF!+#REF!+#REF!+#REF!+#REF!</f>
        <v>#REF!</v>
      </c>
      <c r="AC53" s="1195"/>
      <c r="AD53" s="1115">
        <f>SUM(G53:R53)</f>
        <v>100.00000000000001</v>
      </c>
    </row>
    <row r="54" spans="2:30" ht="12.75" customHeight="1" thickTop="1" thickBot="1">
      <c r="B54" s="1196" t="s">
        <v>42</v>
      </c>
      <c r="C54" s="1197" t="s">
        <v>292</v>
      </c>
      <c r="D54" s="1198"/>
      <c r="E54" s="220"/>
      <c r="F54" s="221"/>
      <c r="G54" s="1199">
        <f>SUM($G$53:G53)</f>
        <v>0</v>
      </c>
      <c r="H54" s="1199">
        <f>SUM($G$53:H53)</f>
        <v>21.434117042079855</v>
      </c>
      <c r="I54" s="1200">
        <f>SUM($G$53:I53)</f>
        <v>48.11052531287767</v>
      </c>
      <c r="J54" s="1201">
        <f>SUM($G$53:J53)</f>
        <v>68.450379269548534</v>
      </c>
      <c r="K54" s="1199">
        <f>SUM($G$53:K53)</f>
        <v>85.38140618530943</v>
      </c>
      <c r="L54" s="1202">
        <f>SUM($G$53:L53)</f>
        <v>86.664842385953492</v>
      </c>
      <c r="M54" s="1203">
        <f>SUM($G$53:M53)</f>
        <v>89.904031424597548</v>
      </c>
      <c r="N54" s="1199">
        <f>SUM($G$53:N53)</f>
        <v>95.36904379802624</v>
      </c>
      <c r="O54" s="1200">
        <f>SUM($G$53:O53)</f>
        <v>98.074845699033929</v>
      </c>
      <c r="P54" s="1203">
        <f>SUM($G$53:P53)</f>
        <v>99.713873324768898</v>
      </c>
      <c r="Q54" s="1199">
        <f>SUM($G$53:Q53)</f>
        <v>100.00000000000001</v>
      </c>
      <c r="R54" s="1200">
        <f>SUM($G$53:R53)</f>
        <v>100.00000000000001</v>
      </c>
      <c r="S54" s="1204"/>
      <c r="T54" s="221"/>
      <c r="U54" s="1205"/>
      <c r="V54" s="1206"/>
      <c r="W54" s="1207"/>
      <c r="X54" s="1207"/>
      <c r="Y54" s="1207"/>
      <c r="Z54" s="1207"/>
      <c r="AA54" s="1208"/>
      <c r="AB54" s="1208"/>
      <c r="AC54" s="1208"/>
      <c r="AD54" s="1115">
        <f>SUM(G54:R54)</f>
        <v>893.10306444219566</v>
      </c>
    </row>
    <row r="55" spans="2:30" ht="12.75" customHeight="1">
      <c r="B55" s="226"/>
      <c r="C55" s="226"/>
      <c r="D55" s="227"/>
      <c r="E55" s="227"/>
      <c r="F55" s="227"/>
      <c r="G55" s="1209"/>
      <c r="H55" s="1209"/>
      <c r="I55" s="1209"/>
      <c r="J55" s="1209"/>
      <c r="K55" s="1209"/>
      <c r="L55" s="1209"/>
      <c r="M55" s="1209"/>
      <c r="N55" s="1209"/>
      <c r="O55" s="1209"/>
      <c r="P55" s="1209"/>
      <c r="Q55" s="1209"/>
      <c r="R55" s="1209"/>
      <c r="S55" s="227"/>
      <c r="T55" s="227"/>
      <c r="U55" s="1210"/>
      <c r="V55" s="1211"/>
      <c r="W55" s="227"/>
      <c r="X55" s="227"/>
      <c r="Y55" s="227"/>
      <c r="Z55" s="227"/>
      <c r="AA55" s="1212"/>
      <c r="AB55" s="1212"/>
      <c r="AC55" s="1212"/>
    </row>
    <row r="56" spans="2:30" s="1217" customFormat="1" ht="12">
      <c r="B56" s="1213"/>
      <c r="C56" s="1213"/>
      <c r="D56" s="1213"/>
      <c r="E56" s="1213"/>
      <c r="F56" s="1214"/>
      <c r="G56" s="1215"/>
      <c r="H56" s="1215"/>
      <c r="I56" s="1215"/>
      <c r="J56" s="1215"/>
      <c r="K56" s="1215"/>
      <c r="L56" s="1215"/>
      <c r="M56" s="1216"/>
      <c r="N56" s="1216"/>
      <c r="O56" s="1216"/>
      <c r="P56" s="1216"/>
      <c r="Q56" s="1216"/>
      <c r="R56" s="1216" t="s">
        <v>293</v>
      </c>
      <c r="V56" s="1216"/>
      <c r="W56" s="1213"/>
      <c r="X56" s="1218"/>
      <c r="Y56" s="1213"/>
      <c r="Z56" s="1218"/>
      <c r="AA56" s="1213"/>
      <c r="AB56" s="1216" t="s">
        <v>156</v>
      </c>
    </row>
    <row r="57" spans="2:30" s="1217" customFormat="1" ht="12">
      <c r="C57" s="1216"/>
      <c r="D57" s="1216"/>
      <c r="E57" s="1216"/>
      <c r="F57" s="1216" t="s">
        <v>98</v>
      </c>
      <c r="G57" s="1215"/>
      <c r="H57" s="1215"/>
      <c r="I57" s="1167"/>
      <c r="J57" s="1167"/>
      <c r="K57" s="1167"/>
      <c r="L57" s="1167"/>
      <c r="M57" s="1167"/>
      <c r="N57" s="1167"/>
      <c r="O57" s="1167"/>
      <c r="P57" s="1167"/>
      <c r="Q57" s="1167"/>
      <c r="R57" s="1167"/>
      <c r="S57" s="1167"/>
      <c r="T57" s="1167"/>
      <c r="U57" s="1219"/>
      <c r="V57" s="1091">
        <v>0</v>
      </c>
      <c r="W57" s="1089">
        <f>U57/$S$15*100</f>
        <v>0</v>
      </c>
      <c r="X57" s="1216"/>
      <c r="Y57" s="1216"/>
      <c r="Z57" s="1220"/>
      <c r="AA57" s="1216"/>
      <c r="AB57" s="1213"/>
      <c r="AC57" s="1216"/>
    </row>
    <row r="58" spans="2:30" s="1217" customFormat="1" ht="12">
      <c r="C58" s="1216"/>
      <c r="D58" s="1216"/>
      <c r="E58" s="1216"/>
      <c r="F58" s="1216" t="s">
        <v>99</v>
      </c>
      <c r="G58" s="1215"/>
      <c r="H58" s="1215"/>
      <c r="I58" s="1104"/>
      <c r="J58" s="1104"/>
      <c r="K58" s="1104"/>
      <c r="L58" s="1104"/>
      <c r="M58" s="1104"/>
      <c r="N58" s="1104"/>
      <c r="O58" s="1104"/>
      <c r="P58" s="1104"/>
      <c r="Q58" s="1104"/>
      <c r="R58" s="1104"/>
      <c r="S58" s="1104" t="s">
        <v>46</v>
      </c>
      <c r="T58" s="1104"/>
      <c r="U58" s="1221"/>
      <c r="V58" s="1106"/>
      <c r="W58" s="1108"/>
      <c r="X58" s="1216"/>
      <c r="Y58" s="1216"/>
      <c r="Z58" s="1220"/>
      <c r="AB58" s="1216" t="s">
        <v>157</v>
      </c>
    </row>
    <row r="59" spans="2:30" s="1217" customFormat="1" ht="12">
      <c r="C59" s="1216"/>
      <c r="D59" s="1216"/>
      <c r="E59" s="1216"/>
      <c r="F59" s="1216" t="s">
        <v>56</v>
      </c>
      <c r="G59" s="1215"/>
      <c r="H59" s="1215"/>
      <c r="I59" s="1104"/>
      <c r="J59" s="1104"/>
      <c r="K59" s="1104"/>
      <c r="L59" s="1104"/>
      <c r="M59" s="1104"/>
      <c r="N59" s="1104"/>
      <c r="O59" s="1104"/>
      <c r="P59" s="1104"/>
      <c r="Q59" s="1104"/>
      <c r="R59" s="1104"/>
      <c r="S59" s="1104"/>
      <c r="T59" s="1104"/>
      <c r="U59" s="1221"/>
      <c r="V59" s="1106"/>
      <c r="W59" s="1108"/>
      <c r="X59" s="1216"/>
      <c r="Y59" s="1216"/>
      <c r="Z59" s="1220"/>
      <c r="AB59" s="1216"/>
    </row>
    <row r="60" spans="2:30" s="1217" customFormat="1" ht="12">
      <c r="C60" s="1216"/>
      <c r="D60" s="1216"/>
      <c r="E60" s="1216"/>
      <c r="F60" s="1216" t="s">
        <v>294</v>
      </c>
      <c r="G60" s="1215"/>
      <c r="H60" s="1215"/>
      <c r="I60" s="1104"/>
      <c r="J60" s="1104"/>
      <c r="K60" s="1104"/>
      <c r="L60" s="1104"/>
      <c r="M60" s="1104"/>
      <c r="N60" s="1104"/>
      <c r="O60" s="1104"/>
      <c r="P60" s="1104"/>
      <c r="Q60" s="1104"/>
      <c r="R60" s="1104"/>
      <c r="S60" s="1104"/>
      <c r="T60" s="1104"/>
      <c r="U60" s="1219"/>
      <c r="V60" s="1110"/>
      <c r="W60" s="1108"/>
      <c r="X60" s="1216"/>
      <c r="Y60" s="1216"/>
      <c r="Z60" s="1222"/>
      <c r="AA60" s="1216"/>
      <c r="AB60" s="1213"/>
      <c r="AC60" s="1216"/>
    </row>
    <row r="61" spans="2:30" s="1217" customFormat="1" ht="12">
      <c r="C61" s="1216"/>
      <c r="D61" s="1216"/>
      <c r="E61" s="1216"/>
      <c r="F61" s="1216"/>
      <c r="G61" s="1216"/>
      <c r="H61" s="1216"/>
      <c r="I61" s="1104"/>
      <c r="J61" s="1104"/>
      <c r="K61" s="1104"/>
      <c r="L61" s="1104"/>
      <c r="M61" s="1104"/>
      <c r="N61" s="1104"/>
      <c r="O61" s="1104"/>
      <c r="P61" s="1104"/>
      <c r="Q61" s="1104"/>
      <c r="R61" s="1104"/>
      <c r="S61" s="1104"/>
      <c r="T61" s="1104"/>
      <c r="U61" s="1219"/>
      <c r="V61" s="1110"/>
      <c r="W61" s="1108"/>
      <c r="X61" s="1216"/>
      <c r="Y61" s="1216"/>
      <c r="Z61" s="1220"/>
      <c r="AA61" s="1216"/>
      <c r="AB61" s="1213"/>
      <c r="AC61" s="1216"/>
    </row>
    <row r="62" spans="2:30" s="1217" customFormat="1" ht="12">
      <c r="C62" s="1223"/>
      <c r="D62" s="1223"/>
      <c r="E62" s="1223"/>
      <c r="F62" s="1223" t="s">
        <v>192</v>
      </c>
      <c r="G62" s="1223"/>
      <c r="H62" s="1223"/>
      <c r="I62" s="1223"/>
      <c r="J62" s="1223"/>
      <c r="K62" s="1223"/>
      <c r="L62" s="1223"/>
      <c r="M62" s="1223"/>
      <c r="N62" s="1223"/>
      <c r="O62" s="1223"/>
      <c r="P62" s="1223"/>
      <c r="Q62" s="1223"/>
      <c r="R62" s="1223"/>
      <c r="S62" s="1223" t="s">
        <v>295</v>
      </c>
      <c r="V62" s="1223"/>
      <c r="W62" s="1223"/>
      <c r="X62" s="1223"/>
      <c r="Y62" s="1223"/>
      <c r="Z62" s="1224"/>
      <c r="AA62" s="1223"/>
      <c r="AB62" s="1223" t="s">
        <v>160</v>
      </c>
    </row>
    <row r="63" spans="2:30" s="1217" customFormat="1" ht="12">
      <c r="C63" s="1225"/>
      <c r="D63" s="1216"/>
      <c r="E63" s="1216"/>
      <c r="F63" s="1216" t="s">
        <v>49</v>
      </c>
      <c r="G63" s="1216"/>
      <c r="H63" s="1216"/>
      <c r="I63" s="1216"/>
      <c r="J63" s="1216"/>
      <c r="K63" s="1216"/>
      <c r="L63" s="1216"/>
      <c r="M63" s="1216"/>
      <c r="N63" s="1216"/>
      <c r="O63" s="1216"/>
      <c r="P63" s="1216"/>
      <c r="Q63" s="1216"/>
      <c r="R63" s="1216"/>
      <c r="S63" s="1226" t="s">
        <v>296</v>
      </c>
      <c r="V63" s="1216"/>
      <c r="W63" s="1216"/>
      <c r="X63" s="1216"/>
      <c r="Y63" s="1216"/>
      <c r="Z63" s="1220"/>
      <c r="AA63" s="1216"/>
      <c r="AB63" s="1216" t="s">
        <v>162</v>
      </c>
    </row>
    <row r="64" spans="2:30" s="1217" customFormat="1" ht="12">
      <c r="B64" s="1213"/>
      <c r="C64" s="1213"/>
      <c r="D64" s="1213"/>
      <c r="E64" s="1213"/>
      <c r="F64" s="1213"/>
      <c r="G64" s="1216"/>
      <c r="H64" s="1216"/>
      <c r="I64" s="1216"/>
      <c r="J64" s="1216"/>
      <c r="K64" s="1216"/>
      <c r="L64" s="1216"/>
      <c r="M64" s="1216"/>
      <c r="N64" s="1216"/>
      <c r="O64" s="1216"/>
      <c r="P64" s="1216"/>
      <c r="Q64" s="1216"/>
      <c r="R64" s="1216"/>
      <c r="S64" s="1218"/>
      <c r="T64" s="1218"/>
      <c r="U64" s="1213"/>
      <c r="V64" s="1216"/>
      <c r="W64" s="1213"/>
      <c r="X64" s="1213"/>
      <c r="Y64" s="1213"/>
      <c r="Z64" s="1218"/>
      <c r="AA64" s="1213"/>
      <c r="AB64" s="1213"/>
      <c r="AC64" s="1213"/>
    </row>
    <row r="66" spans="2:31" ht="15.75">
      <c r="S66" s="1228"/>
    </row>
    <row r="71" spans="2:31">
      <c r="B71" s="1229"/>
    </row>
    <row r="72" spans="2:31">
      <c r="B72" s="1230"/>
    </row>
    <row r="73" spans="2:31">
      <c r="B73" s="1230"/>
    </row>
    <row r="74" spans="2:31">
      <c r="B74" s="1230"/>
      <c r="F74" s="1231"/>
    </row>
    <row r="76" spans="2:31" s="1227" customFormat="1">
      <c r="B76" s="1229"/>
      <c r="C76" s="1009"/>
      <c r="D76" s="1009"/>
      <c r="E76" s="1009"/>
      <c r="F76" s="1009"/>
      <c r="S76" s="1009"/>
      <c r="T76" s="1009"/>
      <c r="U76" s="1009"/>
      <c r="W76" s="1009"/>
      <c r="X76" s="1009"/>
      <c r="Y76" s="1009"/>
      <c r="Z76" s="1009"/>
      <c r="AA76" s="1009"/>
      <c r="AB76" s="1009"/>
      <c r="AC76" s="1009"/>
      <c r="AD76" s="1009"/>
      <c r="AE76" s="1009"/>
    </row>
    <row r="77" spans="2:31" s="1227" customFormat="1">
      <c r="B77" s="1230"/>
      <c r="C77" s="1009"/>
      <c r="D77" s="1009"/>
      <c r="E77" s="1009"/>
      <c r="F77" s="1009"/>
      <c r="S77" s="1009"/>
      <c r="T77" s="1009"/>
      <c r="U77" s="1009"/>
      <c r="W77" s="1009"/>
      <c r="X77" s="1009"/>
      <c r="Y77" s="1009"/>
      <c r="Z77" s="1009"/>
      <c r="AA77" s="1009"/>
      <c r="AB77" s="1009"/>
      <c r="AC77" s="1009"/>
      <c r="AD77" s="1009"/>
      <c r="AE77" s="1009"/>
    </row>
    <row r="78" spans="2:31" s="1227" customFormat="1">
      <c r="B78" s="1230"/>
      <c r="C78" s="1009"/>
      <c r="D78" s="1009"/>
      <c r="E78" s="1009"/>
      <c r="F78" s="1009"/>
      <c r="S78" s="1009"/>
      <c r="T78" s="1009"/>
      <c r="U78" s="1009"/>
      <c r="W78" s="1009"/>
      <c r="X78" s="1009"/>
      <c r="Y78" s="1009"/>
      <c r="Z78" s="1009"/>
      <c r="AA78" s="1009"/>
      <c r="AB78" s="1009"/>
      <c r="AC78" s="1009"/>
      <c r="AD78" s="1009"/>
      <c r="AE78" s="1009"/>
    </row>
    <row r="79" spans="2:31" s="1227" customFormat="1">
      <c r="B79" s="1230"/>
      <c r="C79" s="1009"/>
      <c r="D79" s="1009"/>
      <c r="E79" s="1009"/>
      <c r="F79" s="1009"/>
      <c r="S79" s="1009"/>
      <c r="T79" s="1009"/>
      <c r="U79" s="1009"/>
      <c r="W79" s="1009"/>
      <c r="X79" s="1009"/>
      <c r="Y79" s="1009"/>
      <c r="Z79" s="1009"/>
      <c r="AA79" s="1009"/>
      <c r="AB79" s="1009"/>
      <c r="AC79" s="1009"/>
      <c r="AD79" s="1009"/>
      <c r="AE79" s="1009"/>
    </row>
    <row r="80" spans="2:31" s="1227" customFormat="1">
      <c r="B80" s="1230"/>
      <c r="C80" s="1009"/>
      <c r="D80" s="1009"/>
      <c r="E80" s="1009"/>
      <c r="F80" s="1009"/>
      <c r="S80" s="1009"/>
      <c r="T80" s="1009"/>
      <c r="U80" s="1009"/>
      <c r="W80" s="1009"/>
      <c r="X80" s="1009"/>
      <c r="Y80" s="1009"/>
      <c r="Z80" s="1009"/>
      <c r="AA80" s="1009"/>
      <c r="AB80" s="1009"/>
      <c r="AC80" s="1009"/>
      <c r="AD80" s="1009"/>
      <c r="AE80" s="1009"/>
    </row>
    <row r="81" spans="2:31" s="1227" customFormat="1">
      <c r="B81" s="1230"/>
      <c r="C81" s="1009"/>
      <c r="D81" s="1009"/>
      <c r="E81" s="1009"/>
      <c r="F81" s="1009"/>
      <c r="S81" s="1009"/>
      <c r="T81" s="1009"/>
      <c r="U81" s="1009"/>
      <c r="W81" s="1009"/>
      <c r="X81" s="1009"/>
      <c r="Y81" s="1009"/>
      <c r="Z81" s="1009"/>
      <c r="AA81" s="1009"/>
      <c r="AB81" s="1009"/>
      <c r="AC81" s="1009"/>
      <c r="AD81" s="1009"/>
      <c r="AE81" s="1009"/>
    </row>
    <row r="82" spans="2:31" s="1227" customFormat="1">
      <c r="B82" s="1230"/>
      <c r="C82" s="1009"/>
      <c r="D82" s="1009"/>
      <c r="E82" s="1009"/>
      <c r="F82" s="1009"/>
      <c r="S82" s="1009"/>
      <c r="T82" s="1009"/>
      <c r="U82" s="1009"/>
      <c r="W82" s="1009"/>
      <c r="X82" s="1009"/>
      <c r="Y82" s="1009"/>
      <c r="Z82" s="1009"/>
      <c r="AA82" s="1009"/>
      <c r="AB82" s="1009"/>
      <c r="AC82" s="1009"/>
      <c r="AD82" s="1009"/>
      <c r="AE82" s="1009"/>
    </row>
    <row r="83" spans="2:31" s="1227" customFormat="1">
      <c r="B83" s="1230"/>
      <c r="C83" s="1009"/>
      <c r="D83" s="1009"/>
      <c r="E83" s="1009"/>
      <c r="F83" s="1009"/>
      <c r="S83" s="1009"/>
      <c r="T83" s="1009"/>
      <c r="U83" s="1009"/>
      <c r="W83" s="1009"/>
      <c r="X83" s="1009"/>
      <c r="Y83" s="1009"/>
      <c r="Z83" s="1009"/>
      <c r="AA83" s="1009"/>
      <c r="AB83" s="1009"/>
      <c r="AC83" s="1009"/>
      <c r="AD83" s="1009"/>
      <c r="AE83" s="1009"/>
    </row>
    <row r="84" spans="2:31" s="1227" customFormat="1">
      <c r="B84" s="1230"/>
      <c r="C84" s="1009"/>
      <c r="D84" s="1009"/>
      <c r="E84" s="1009"/>
      <c r="F84" s="1009"/>
      <c r="S84" s="1009"/>
      <c r="T84" s="1009"/>
      <c r="U84" s="1009"/>
      <c r="W84" s="1009"/>
      <c r="X84" s="1009"/>
      <c r="Y84" s="1009"/>
      <c r="Z84" s="1009"/>
      <c r="AA84" s="1009"/>
      <c r="AB84" s="1009"/>
      <c r="AC84" s="1009"/>
      <c r="AD84" s="1009"/>
      <c r="AE84" s="1009"/>
    </row>
    <row r="85" spans="2:31" s="1227" customFormat="1">
      <c r="B85" s="1230"/>
      <c r="C85" s="1009"/>
      <c r="D85" s="1009"/>
      <c r="E85" s="1009"/>
      <c r="F85" s="1009"/>
      <c r="S85" s="1009"/>
      <c r="T85" s="1009"/>
      <c r="U85" s="1009"/>
      <c r="W85" s="1009"/>
      <c r="X85" s="1009"/>
      <c r="Y85" s="1009"/>
      <c r="Z85" s="1009"/>
      <c r="AA85" s="1009"/>
      <c r="AB85" s="1009"/>
      <c r="AC85" s="1009"/>
      <c r="AD85" s="1009"/>
      <c r="AE85" s="1009"/>
    </row>
    <row r="86" spans="2:31" s="1227" customFormat="1">
      <c r="B86" s="1230"/>
      <c r="C86" s="1009"/>
      <c r="D86" s="1009"/>
      <c r="E86" s="1009"/>
      <c r="F86" s="1009"/>
      <c r="S86" s="1009"/>
      <c r="T86" s="1009"/>
      <c r="U86" s="1009"/>
      <c r="W86" s="1009"/>
      <c r="X86" s="1009"/>
      <c r="Y86" s="1009"/>
      <c r="Z86" s="1009"/>
      <c r="AA86" s="1009"/>
      <c r="AB86" s="1009"/>
      <c r="AC86" s="1009"/>
      <c r="AD86" s="1009"/>
      <c r="AE86" s="1009"/>
    </row>
    <row r="87" spans="2:31" s="1227" customFormat="1">
      <c r="B87" s="1230"/>
      <c r="C87" s="1009"/>
      <c r="D87" s="1009"/>
      <c r="E87" s="1009"/>
      <c r="F87" s="1009"/>
      <c r="S87" s="1009"/>
      <c r="T87" s="1009"/>
      <c r="U87" s="1009"/>
      <c r="W87" s="1009"/>
      <c r="X87" s="1009"/>
      <c r="Y87" s="1009"/>
      <c r="Z87" s="1009"/>
      <c r="AA87" s="1009"/>
      <c r="AB87" s="1009"/>
      <c r="AC87" s="1009"/>
      <c r="AD87" s="1009"/>
      <c r="AE87" s="1009"/>
    </row>
    <row r="88" spans="2:31" s="1227" customFormat="1">
      <c r="B88" s="1230"/>
      <c r="C88" s="1009"/>
      <c r="D88" s="1009"/>
      <c r="E88" s="1009"/>
      <c r="F88" s="1009"/>
      <c r="S88" s="1009"/>
      <c r="T88" s="1009"/>
      <c r="U88" s="1009"/>
      <c r="W88" s="1009"/>
      <c r="X88" s="1009"/>
      <c r="Y88" s="1009"/>
      <c r="Z88" s="1009"/>
      <c r="AA88" s="1009"/>
      <c r="AB88" s="1009"/>
      <c r="AC88" s="1009"/>
      <c r="AD88" s="1009"/>
      <c r="AE88" s="1009"/>
    </row>
    <row r="89" spans="2:31" s="1227" customFormat="1">
      <c r="B89" s="1230"/>
      <c r="C89" s="1009"/>
      <c r="D89" s="1009"/>
      <c r="E89" s="1009"/>
      <c r="F89" s="1009"/>
      <c r="S89" s="1009"/>
      <c r="T89" s="1009"/>
      <c r="U89" s="1009"/>
      <c r="W89" s="1009"/>
      <c r="X89" s="1009"/>
      <c r="Y89" s="1009"/>
      <c r="Z89" s="1009"/>
      <c r="AA89" s="1009"/>
      <c r="AB89" s="1009"/>
      <c r="AC89" s="1009"/>
      <c r="AD89" s="1009"/>
      <c r="AE89" s="1009"/>
    </row>
    <row r="90" spans="2:31" s="1227" customFormat="1">
      <c r="B90" s="1230"/>
      <c r="C90" s="1009"/>
      <c r="D90" s="1009"/>
      <c r="E90" s="1009"/>
      <c r="F90" s="1009"/>
      <c r="S90" s="1009"/>
      <c r="T90" s="1009"/>
      <c r="U90" s="1009"/>
      <c r="W90" s="1009"/>
      <c r="X90" s="1009"/>
      <c r="Y90" s="1009"/>
      <c r="Z90" s="1009"/>
      <c r="AA90" s="1009"/>
      <c r="AB90" s="1009"/>
      <c r="AC90" s="1009"/>
      <c r="AD90" s="1009"/>
      <c r="AE90" s="1009"/>
    </row>
    <row r="91" spans="2:31" s="1227" customFormat="1">
      <c r="B91" s="1009"/>
      <c r="C91" s="1009"/>
      <c r="D91" s="1009"/>
      <c r="E91" s="1009"/>
      <c r="F91" s="1231"/>
      <c r="S91" s="1009"/>
      <c r="T91" s="1009"/>
      <c r="U91" s="1009"/>
      <c r="W91" s="1009"/>
      <c r="X91" s="1009"/>
      <c r="Y91" s="1009"/>
      <c r="Z91" s="1009"/>
      <c r="AA91" s="1009"/>
      <c r="AB91" s="1009"/>
      <c r="AC91" s="1009"/>
      <c r="AD91" s="1009"/>
      <c r="AE91" s="1009"/>
    </row>
  </sheetData>
  <mergeCells count="25">
    <mergeCell ref="V11:W11"/>
    <mergeCell ref="B13:C13"/>
    <mergeCell ref="D13:E13"/>
    <mergeCell ref="V13:W13"/>
    <mergeCell ref="AC21:AC52"/>
    <mergeCell ref="D53:E53"/>
    <mergeCell ref="V9:Y9"/>
    <mergeCell ref="Z9:AB9"/>
    <mergeCell ref="G10:I10"/>
    <mergeCell ref="J10:L10"/>
    <mergeCell ref="M10:O10"/>
    <mergeCell ref="P10:R10"/>
    <mergeCell ref="V10:W10"/>
    <mergeCell ref="B9:C12"/>
    <mergeCell ref="D9:E12"/>
    <mergeCell ref="F9:F12"/>
    <mergeCell ref="G9:R9"/>
    <mergeCell ref="S9:S11"/>
    <mergeCell ref="T9:T11"/>
    <mergeCell ref="B1:AC1"/>
    <mergeCell ref="B2:AC2"/>
    <mergeCell ref="D4:L4"/>
    <mergeCell ref="D5:L5"/>
    <mergeCell ref="D6:L6"/>
    <mergeCell ref="D7:G7"/>
  </mergeCells>
  <printOptions horizontalCentered="1"/>
  <pageMargins left="0.31496062992125984" right="0.31496062992125984" top="0.70866141732283472" bottom="0.6692913385826772" header="0.39370078740157483" footer="0.39370078740157483"/>
  <pageSetup paperSize="121" scale="90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117"/>
  <sheetViews>
    <sheetView workbookViewId="0">
      <selection activeCell="D13" sqref="D13:E14"/>
    </sheetView>
  </sheetViews>
  <sheetFormatPr defaultRowHeight="12.75"/>
  <cols>
    <col min="1" max="1" width="2.28515625" style="271" customWidth="1"/>
    <col min="2" max="2" width="30.28515625" style="271" customWidth="1"/>
    <col min="3" max="3" width="4.42578125" style="271" customWidth="1"/>
    <col min="4" max="4" width="4.85546875" style="271" customWidth="1"/>
    <col min="5" max="5" width="3.28515625" style="271" customWidth="1"/>
    <col min="6" max="6" width="6.42578125" style="271" customWidth="1"/>
    <col min="7" max="8" width="8.140625" style="435" customWidth="1"/>
    <col min="9" max="9" width="7.28515625" style="435" customWidth="1"/>
    <col min="10" max="10" width="6.7109375" style="435" customWidth="1"/>
    <col min="11" max="11" width="6.85546875" style="435" customWidth="1"/>
    <col min="12" max="12" width="7.28515625" style="435" customWidth="1"/>
    <col min="13" max="13" width="7.42578125" style="435" customWidth="1"/>
    <col min="14" max="14" width="7" style="435" customWidth="1"/>
    <col min="15" max="15" width="7.140625" style="435" customWidth="1"/>
    <col min="16" max="16" width="7.28515625" style="435" customWidth="1"/>
    <col min="17" max="18" width="6.5703125" style="435" customWidth="1"/>
    <col min="19" max="19" width="11.7109375" style="271" customWidth="1"/>
    <col min="20" max="20" width="9.42578125" style="271" customWidth="1"/>
    <col min="21" max="21" width="8.7109375" style="271" customWidth="1"/>
    <col min="22" max="22" width="4.7109375" style="435" hidden="1" customWidth="1"/>
    <col min="23" max="23" width="5" style="271" hidden="1" customWidth="1"/>
    <col min="24" max="24" width="9.7109375" style="271" hidden="1" customWidth="1"/>
    <col min="25" max="25" width="8.28515625" style="271" hidden="1" customWidth="1"/>
    <col min="26" max="26" width="14.85546875" style="271" hidden="1" customWidth="1"/>
    <col min="27" max="28" width="11.140625" style="271" hidden="1" customWidth="1"/>
    <col min="29" max="29" width="17.140625" style="271" hidden="1" customWidth="1"/>
    <col min="30" max="30" width="12.42578125" style="271" customWidth="1"/>
    <col min="31" max="31" width="15.28515625" style="271" customWidth="1"/>
    <col min="32" max="32" width="11" style="271" bestFit="1" customWidth="1"/>
    <col min="33" max="33" width="9.140625" style="271"/>
    <col min="34" max="34" width="10" style="271" bestFit="1" customWidth="1"/>
    <col min="35" max="256" width="9.140625" style="271"/>
    <col min="257" max="257" width="2.28515625" style="271" customWidth="1"/>
    <col min="258" max="258" width="30.28515625" style="271" customWidth="1"/>
    <col min="259" max="259" width="4.42578125" style="271" customWidth="1"/>
    <col min="260" max="260" width="4.85546875" style="271" customWidth="1"/>
    <col min="261" max="261" width="3.28515625" style="271" customWidth="1"/>
    <col min="262" max="262" width="6.42578125" style="271" customWidth="1"/>
    <col min="263" max="264" width="8.140625" style="271" customWidth="1"/>
    <col min="265" max="265" width="7.28515625" style="271" customWidth="1"/>
    <col min="266" max="266" width="6.7109375" style="271" customWidth="1"/>
    <col min="267" max="267" width="6.85546875" style="271" customWidth="1"/>
    <col min="268" max="268" width="7.28515625" style="271" customWidth="1"/>
    <col min="269" max="269" width="7.42578125" style="271" customWidth="1"/>
    <col min="270" max="270" width="7" style="271" customWidth="1"/>
    <col min="271" max="271" width="7.140625" style="271" customWidth="1"/>
    <col min="272" max="272" width="7.28515625" style="271" customWidth="1"/>
    <col min="273" max="274" width="6.5703125" style="271" customWidth="1"/>
    <col min="275" max="275" width="11.7109375" style="271" customWidth="1"/>
    <col min="276" max="276" width="9.42578125" style="271" customWidth="1"/>
    <col min="277" max="277" width="8.7109375" style="271" customWidth="1"/>
    <col min="278" max="285" width="0" style="271" hidden="1" customWidth="1"/>
    <col min="286" max="286" width="12.42578125" style="271" customWidth="1"/>
    <col min="287" max="287" width="15.28515625" style="271" customWidth="1"/>
    <col min="288" max="288" width="11" style="271" bestFit="1" customWidth="1"/>
    <col min="289" max="289" width="9.140625" style="271"/>
    <col min="290" max="290" width="10" style="271" bestFit="1" customWidth="1"/>
    <col min="291" max="512" width="9.140625" style="271"/>
    <col min="513" max="513" width="2.28515625" style="271" customWidth="1"/>
    <col min="514" max="514" width="30.28515625" style="271" customWidth="1"/>
    <col min="515" max="515" width="4.42578125" style="271" customWidth="1"/>
    <col min="516" max="516" width="4.85546875" style="271" customWidth="1"/>
    <col min="517" max="517" width="3.28515625" style="271" customWidth="1"/>
    <col min="518" max="518" width="6.42578125" style="271" customWidth="1"/>
    <col min="519" max="520" width="8.140625" style="271" customWidth="1"/>
    <col min="521" max="521" width="7.28515625" style="271" customWidth="1"/>
    <col min="522" max="522" width="6.7109375" style="271" customWidth="1"/>
    <col min="523" max="523" width="6.85546875" style="271" customWidth="1"/>
    <col min="524" max="524" width="7.28515625" style="271" customWidth="1"/>
    <col min="525" max="525" width="7.42578125" style="271" customWidth="1"/>
    <col min="526" max="526" width="7" style="271" customWidth="1"/>
    <col min="527" max="527" width="7.140625" style="271" customWidth="1"/>
    <col min="528" max="528" width="7.28515625" style="271" customWidth="1"/>
    <col min="529" max="530" width="6.5703125" style="271" customWidth="1"/>
    <col min="531" max="531" width="11.7109375" style="271" customWidth="1"/>
    <col min="532" max="532" width="9.42578125" style="271" customWidth="1"/>
    <col min="533" max="533" width="8.7109375" style="271" customWidth="1"/>
    <col min="534" max="541" width="0" style="271" hidden="1" customWidth="1"/>
    <col min="542" max="542" width="12.42578125" style="271" customWidth="1"/>
    <col min="543" max="543" width="15.28515625" style="271" customWidth="1"/>
    <col min="544" max="544" width="11" style="271" bestFit="1" customWidth="1"/>
    <col min="545" max="545" width="9.140625" style="271"/>
    <col min="546" max="546" width="10" style="271" bestFit="1" customWidth="1"/>
    <col min="547" max="768" width="9.140625" style="271"/>
    <col min="769" max="769" width="2.28515625" style="271" customWidth="1"/>
    <col min="770" max="770" width="30.28515625" style="271" customWidth="1"/>
    <col min="771" max="771" width="4.42578125" style="271" customWidth="1"/>
    <col min="772" max="772" width="4.85546875" style="271" customWidth="1"/>
    <col min="773" max="773" width="3.28515625" style="271" customWidth="1"/>
    <col min="774" max="774" width="6.42578125" style="271" customWidth="1"/>
    <col min="775" max="776" width="8.140625" style="271" customWidth="1"/>
    <col min="777" max="777" width="7.28515625" style="271" customWidth="1"/>
    <col min="778" max="778" width="6.7109375" style="271" customWidth="1"/>
    <col min="779" max="779" width="6.85546875" style="271" customWidth="1"/>
    <col min="780" max="780" width="7.28515625" style="271" customWidth="1"/>
    <col min="781" max="781" width="7.42578125" style="271" customWidth="1"/>
    <col min="782" max="782" width="7" style="271" customWidth="1"/>
    <col min="783" max="783" width="7.140625" style="271" customWidth="1"/>
    <col min="784" max="784" width="7.28515625" style="271" customWidth="1"/>
    <col min="785" max="786" width="6.5703125" style="271" customWidth="1"/>
    <col min="787" max="787" width="11.7109375" style="271" customWidth="1"/>
    <col min="788" max="788" width="9.42578125" style="271" customWidth="1"/>
    <col min="789" max="789" width="8.7109375" style="271" customWidth="1"/>
    <col min="790" max="797" width="0" style="271" hidden="1" customWidth="1"/>
    <col min="798" max="798" width="12.42578125" style="271" customWidth="1"/>
    <col min="799" max="799" width="15.28515625" style="271" customWidth="1"/>
    <col min="800" max="800" width="11" style="271" bestFit="1" customWidth="1"/>
    <col min="801" max="801" width="9.140625" style="271"/>
    <col min="802" max="802" width="10" style="271" bestFit="1" customWidth="1"/>
    <col min="803" max="1024" width="9.140625" style="271"/>
    <col min="1025" max="1025" width="2.28515625" style="271" customWidth="1"/>
    <col min="1026" max="1026" width="30.28515625" style="271" customWidth="1"/>
    <col min="1027" max="1027" width="4.42578125" style="271" customWidth="1"/>
    <col min="1028" max="1028" width="4.85546875" style="271" customWidth="1"/>
    <col min="1029" max="1029" width="3.28515625" style="271" customWidth="1"/>
    <col min="1030" max="1030" width="6.42578125" style="271" customWidth="1"/>
    <col min="1031" max="1032" width="8.140625" style="271" customWidth="1"/>
    <col min="1033" max="1033" width="7.28515625" style="271" customWidth="1"/>
    <col min="1034" max="1034" width="6.7109375" style="271" customWidth="1"/>
    <col min="1035" max="1035" width="6.85546875" style="271" customWidth="1"/>
    <col min="1036" max="1036" width="7.28515625" style="271" customWidth="1"/>
    <col min="1037" max="1037" width="7.42578125" style="271" customWidth="1"/>
    <col min="1038" max="1038" width="7" style="271" customWidth="1"/>
    <col min="1039" max="1039" width="7.140625" style="271" customWidth="1"/>
    <col min="1040" max="1040" width="7.28515625" style="271" customWidth="1"/>
    <col min="1041" max="1042" width="6.5703125" style="271" customWidth="1"/>
    <col min="1043" max="1043" width="11.7109375" style="271" customWidth="1"/>
    <col min="1044" max="1044" width="9.42578125" style="271" customWidth="1"/>
    <col min="1045" max="1045" width="8.7109375" style="271" customWidth="1"/>
    <col min="1046" max="1053" width="0" style="271" hidden="1" customWidth="1"/>
    <col min="1054" max="1054" width="12.42578125" style="271" customWidth="1"/>
    <col min="1055" max="1055" width="15.28515625" style="271" customWidth="1"/>
    <col min="1056" max="1056" width="11" style="271" bestFit="1" customWidth="1"/>
    <col min="1057" max="1057" width="9.140625" style="271"/>
    <col min="1058" max="1058" width="10" style="271" bestFit="1" customWidth="1"/>
    <col min="1059" max="1280" width="9.140625" style="271"/>
    <col min="1281" max="1281" width="2.28515625" style="271" customWidth="1"/>
    <col min="1282" max="1282" width="30.28515625" style="271" customWidth="1"/>
    <col min="1283" max="1283" width="4.42578125" style="271" customWidth="1"/>
    <col min="1284" max="1284" width="4.85546875" style="271" customWidth="1"/>
    <col min="1285" max="1285" width="3.28515625" style="271" customWidth="1"/>
    <col min="1286" max="1286" width="6.42578125" style="271" customWidth="1"/>
    <col min="1287" max="1288" width="8.140625" style="271" customWidth="1"/>
    <col min="1289" max="1289" width="7.28515625" style="271" customWidth="1"/>
    <col min="1290" max="1290" width="6.7109375" style="271" customWidth="1"/>
    <col min="1291" max="1291" width="6.85546875" style="271" customWidth="1"/>
    <col min="1292" max="1292" width="7.28515625" style="271" customWidth="1"/>
    <col min="1293" max="1293" width="7.42578125" style="271" customWidth="1"/>
    <col min="1294" max="1294" width="7" style="271" customWidth="1"/>
    <col min="1295" max="1295" width="7.140625" style="271" customWidth="1"/>
    <col min="1296" max="1296" width="7.28515625" style="271" customWidth="1"/>
    <col min="1297" max="1298" width="6.5703125" style="271" customWidth="1"/>
    <col min="1299" max="1299" width="11.7109375" style="271" customWidth="1"/>
    <col min="1300" max="1300" width="9.42578125" style="271" customWidth="1"/>
    <col min="1301" max="1301" width="8.7109375" style="271" customWidth="1"/>
    <col min="1302" max="1309" width="0" style="271" hidden="1" customWidth="1"/>
    <col min="1310" max="1310" width="12.42578125" style="271" customWidth="1"/>
    <col min="1311" max="1311" width="15.28515625" style="271" customWidth="1"/>
    <col min="1312" max="1312" width="11" style="271" bestFit="1" customWidth="1"/>
    <col min="1313" max="1313" width="9.140625" style="271"/>
    <col min="1314" max="1314" width="10" style="271" bestFit="1" customWidth="1"/>
    <col min="1315" max="1536" width="9.140625" style="271"/>
    <col min="1537" max="1537" width="2.28515625" style="271" customWidth="1"/>
    <col min="1538" max="1538" width="30.28515625" style="271" customWidth="1"/>
    <col min="1539" max="1539" width="4.42578125" style="271" customWidth="1"/>
    <col min="1540" max="1540" width="4.85546875" style="271" customWidth="1"/>
    <col min="1541" max="1541" width="3.28515625" style="271" customWidth="1"/>
    <col min="1542" max="1542" width="6.42578125" style="271" customWidth="1"/>
    <col min="1543" max="1544" width="8.140625" style="271" customWidth="1"/>
    <col min="1545" max="1545" width="7.28515625" style="271" customWidth="1"/>
    <col min="1546" max="1546" width="6.7109375" style="271" customWidth="1"/>
    <col min="1547" max="1547" width="6.85546875" style="271" customWidth="1"/>
    <col min="1548" max="1548" width="7.28515625" style="271" customWidth="1"/>
    <col min="1549" max="1549" width="7.42578125" style="271" customWidth="1"/>
    <col min="1550" max="1550" width="7" style="271" customWidth="1"/>
    <col min="1551" max="1551" width="7.140625" style="271" customWidth="1"/>
    <col min="1552" max="1552" width="7.28515625" style="271" customWidth="1"/>
    <col min="1553" max="1554" width="6.5703125" style="271" customWidth="1"/>
    <col min="1555" max="1555" width="11.7109375" style="271" customWidth="1"/>
    <col min="1556" max="1556" width="9.42578125" style="271" customWidth="1"/>
    <col min="1557" max="1557" width="8.7109375" style="271" customWidth="1"/>
    <col min="1558" max="1565" width="0" style="271" hidden="1" customWidth="1"/>
    <col min="1566" max="1566" width="12.42578125" style="271" customWidth="1"/>
    <col min="1567" max="1567" width="15.28515625" style="271" customWidth="1"/>
    <col min="1568" max="1568" width="11" style="271" bestFit="1" customWidth="1"/>
    <col min="1569" max="1569" width="9.140625" style="271"/>
    <col min="1570" max="1570" width="10" style="271" bestFit="1" customWidth="1"/>
    <col min="1571" max="1792" width="9.140625" style="271"/>
    <col min="1793" max="1793" width="2.28515625" style="271" customWidth="1"/>
    <col min="1794" max="1794" width="30.28515625" style="271" customWidth="1"/>
    <col min="1795" max="1795" width="4.42578125" style="271" customWidth="1"/>
    <col min="1796" max="1796" width="4.85546875" style="271" customWidth="1"/>
    <col min="1797" max="1797" width="3.28515625" style="271" customWidth="1"/>
    <col min="1798" max="1798" width="6.42578125" style="271" customWidth="1"/>
    <col min="1799" max="1800" width="8.140625" style="271" customWidth="1"/>
    <col min="1801" max="1801" width="7.28515625" style="271" customWidth="1"/>
    <col min="1802" max="1802" width="6.7109375" style="271" customWidth="1"/>
    <col min="1803" max="1803" width="6.85546875" style="271" customWidth="1"/>
    <col min="1804" max="1804" width="7.28515625" style="271" customWidth="1"/>
    <col min="1805" max="1805" width="7.42578125" style="271" customWidth="1"/>
    <col min="1806" max="1806" width="7" style="271" customWidth="1"/>
    <col min="1807" max="1807" width="7.140625" style="271" customWidth="1"/>
    <col min="1808" max="1808" width="7.28515625" style="271" customWidth="1"/>
    <col min="1809" max="1810" width="6.5703125" style="271" customWidth="1"/>
    <col min="1811" max="1811" width="11.7109375" style="271" customWidth="1"/>
    <col min="1812" max="1812" width="9.42578125" style="271" customWidth="1"/>
    <col min="1813" max="1813" width="8.7109375" style="271" customWidth="1"/>
    <col min="1814" max="1821" width="0" style="271" hidden="1" customWidth="1"/>
    <col min="1822" max="1822" width="12.42578125" style="271" customWidth="1"/>
    <col min="1823" max="1823" width="15.28515625" style="271" customWidth="1"/>
    <col min="1824" max="1824" width="11" style="271" bestFit="1" customWidth="1"/>
    <col min="1825" max="1825" width="9.140625" style="271"/>
    <col min="1826" max="1826" width="10" style="271" bestFit="1" customWidth="1"/>
    <col min="1827" max="2048" width="9.140625" style="271"/>
    <col min="2049" max="2049" width="2.28515625" style="271" customWidth="1"/>
    <col min="2050" max="2050" width="30.28515625" style="271" customWidth="1"/>
    <col min="2051" max="2051" width="4.42578125" style="271" customWidth="1"/>
    <col min="2052" max="2052" width="4.85546875" style="271" customWidth="1"/>
    <col min="2053" max="2053" width="3.28515625" style="271" customWidth="1"/>
    <col min="2054" max="2054" width="6.42578125" style="271" customWidth="1"/>
    <col min="2055" max="2056" width="8.140625" style="271" customWidth="1"/>
    <col min="2057" max="2057" width="7.28515625" style="271" customWidth="1"/>
    <col min="2058" max="2058" width="6.7109375" style="271" customWidth="1"/>
    <col min="2059" max="2059" width="6.85546875" style="271" customWidth="1"/>
    <col min="2060" max="2060" width="7.28515625" style="271" customWidth="1"/>
    <col min="2061" max="2061" width="7.42578125" style="271" customWidth="1"/>
    <col min="2062" max="2062" width="7" style="271" customWidth="1"/>
    <col min="2063" max="2063" width="7.140625" style="271" customWidth="1"/>
    <col min="2064" max="2064" width="7.28515625" style="271" customWidth="1"/>
    <col min="2065" max="2066" width="6.5703125" style="271" customWidth="1"/>
    <col min="2067" max="2067" width="11.7109375" style="271" customWidth="1"/>
    <col min="2068" max="2068" width="9.42578125" style="271" customWidth="1"/>
    <col min="2069" max="2069" width="8.7109375" style="271" customWidth="1"/>
    <col min="2070" max="2077" width="0" style="271" hidden="1" customWidth="1"/>
    <col min="2078" max="2078" width="12.42578125" style="271" customWidth="1"/>
    <col min="2079" max="2079" width="15.28515625" style="271" customWidth="1"/>
    <col min="2080" max="2080" width="11" style="271" bestFit="1" customWidth="1"/>
    <col min="2081" max="2081" width="9.140625" style="271"/>
    <col min="2082" max="2082" width="10" style="271" bestFit="1" customWidth="1"/>
    <col min="2083" max="2304" width="9.140625" style="271"/>
    <col min="2305" max="2305" width="2.28515625" style="271" customWidth="1"/>
    <col min="2306" max="2306" width="30.28515625" style="271" customWidth="1"/>
    <col min="2307" max="2307" width="4.42578125" style="271" customWidth="1"/>
    <col min="2308" max="2308" width="4.85546875" style="271" customWidth="1"/>
    <col min="2309" max="2309" width="3.28515625" style="271" customWidth="1"/>
    <col min="2310" max="2310" width="6.42578125" style="271" customWidth="1"/>
    <col min="2311" max="2312" width="8.140625" style="271" customWidth="1"/>
    <col min="2313" max="2313" width="7.28515625" style="271" customWidth="1"/>
    <col min="2314" max="2314" width="6.7109375" style="271" customWidth="1"/>
    <col min="2315" max="2315" width="6.85546875" style="271" customWidth="1"/>
    <col min="2316" max="2316" width="7.28515625" style="271" customWidth="1"/>
    <col min="2317" max="2317" width="7.42578125" style="271" customWidth="1"/>
    <col min="2318" max="2318" width="7" style="271" customWidth="1"/>
    <col min="2319" max="2319" width="7.140625" style="271" customWidth="1"/>
    <col min="2320" max="2320" width="7.28515625" style="271" customWidth="1"/>
    <col min="2321" max="2322" width="6.5703125" style="271" customWidth="1"/>
    <col min="2323" max="2323" width="11.7109375" style="271" customWidth="1"/>
    <col min="2324" max="2324" width="9.42578125" style="271" customWidth="1"/>
    <col min="2325" max="2325" width="8.7109375" style="271" customWidth="1"/>
    <col min="2326" max="2333" width="0" style="271" hidden="1" customWidth="1"/>
    <col min="2334" max="2334" width="12.42578125" style="271" customWidth="1"/>
    <col min="2335" max="2335" width="15.28515625" style="271" customWidth="1"/>
    <col min="2336" max="2336" width="11" style="271" bestFit="1" customWidth="1"/>
    <col min="2337" max="2337" width="9.140625" style="271"/>
    <col min="2338" max="2338" width="10" style="271" bestFit="1" customWidth="1"/>
    <col min="2339" max="2560" width="9.140625" style="271"/>
    <col min="2561" max="2561" width="2.28515625" style="271" customWidth="1"/>
    <col min="2562" max="2562" width="30.28515625" style="271" customWidth="1"/>
    <col min="2563" max="2563" width="4.42578125" style="271" customWidth="1"/>
    <col min="2564" max="2564" width="4.85546875" style="271" customWidth="1"/>
    <col min="2565" max="2565" width="3.28515625" style="271" customWidth="1"/>
    <col min="2566" max="2566" width="6.42578125" style="271" customWidth="1"/>
    <col min="2567" max="2568" width="8.140625" style="271" customWidth="1"/>
    <col min="2569" max="2569" width="7.28515625" style="271" customWidth="1"/>
    <col min="2570" max="2570" width="6.7109375" style="271" customWidth="1"/>
    <col min="2571" max="2571" width="6.85546875" style="271" customWidth="1"/>
    <col min="2572" max="2572" width="7.28515625" style="271" customWidth="1"/>
    <col min="2573" max="2573" width="7.42578125" style="271" customWidth="1"/>
    <col min="2574" max="2574" width="7" style="271" customWidth="1"/>
    <col min="2575" max="2575" width="7.140625" style="271" customWidth="1"/>
    <col min="2576" max="2576" width="7.28515625" style="271" customWidth="1"/>
    <col min="2577" max="2578" width="6.5703125" style="271" customWidth="1"/>
    <col min="2579" max="2579" width="11.7109375" style="271" customWidth="1"/>
    <col min="2580" max="2580" width="9.42578125" style="271" customWidth="1"/>
    <col min="2581" max="2581" width="8.7109375" style="271" customWidth="1"/>
    <col min="2582" max="2589" width="0" style="271" hidden="1" customWidth="1"/>
    <col min="2590" max="2590" width="12.42578125" style="271" customWidth="1"/>
    <col min="2591" max="2591" width="15.28515625" style="271" customWidth="1"/>
    <col min="2592" max="2592" width="11" style="271" bestFit="1" customWidth="1"/>
    <col min="2593" max="2593" width="9.140625" style="271"/>
    <col min="2594" max="2594" width="10" style="271" bestFit="1" customWidth="1"/>
    <col min="2595" max="2816" width="9.140625" style="271"/>
    <col min="2817" max="2817" width="2.28515625" style="271" customWidth="1"/>
    <col min="2818" max="2818" width="30.28515625" style="271" customWidth="1"/>
    <col min="2819" max="2819" width="4.42578125" style="271" customWidth="1"/>
    <col min="2820" max="2820" width="4.85546875" style="271" customWidth="1"/>
    <col min="2821" max="2821" width="3.28515625" style="271" customWidth="1"/>
    <col min="2822" max="2822" width="6.42578125" style="271" customWidth="1"/>
    <col min="2823" max="2824" width="8.140625" style="271" customWidth="1"/>
    <col min="2825" max="2825" width="7.28515625" style="271" customWidth="1"/>
    <col min="2826" max="2826" width="6.7109375" style="271" customWidth="1"/>
    <col min="2827" max="2827" width="6.85546875" style="271" customWidth="1"/>
    <col min="2828" max="2828" width="7.28515625" style="271" customWidth="1"/>
    <col min="2829" max="2829" width="7.42578125" style="271" customWidth="1"/>
    <col min="2830" max="2830" width="7" style="271" customWidth="1"/>
    <col min="2831" max="2831" width="7.140625" style="271" customWidth="1"/>
    <col min="2832" max="2832" width="7.28515625" style="271" customWidth="1"/>
    <col min="2833" max="2834" width="6.5703125" style="271" customWidth="1"/>
    <col min="2835" max="2835" width="11.7109375" style="271" customWidth="1"/>
    <col min="2836" max="2836" width="9.42578125" style="271" customWidth="1"/>
    <col min="2837" max="2837" width="8.7109375" style="271" customWidth="1"/>
    <col min="2838" max="2845" width="0" style="271" hidden="1" customWidth="1"/>
    <col min="2846" max="2846" width="12.42578125" style="271" customWidth="1"/>
    <col min="2847" max="2847" width="15.28515625" style="271" customWidth="1"/>
    <col min="2848" max="2848" width="11" style="271" bestFit="1" customWidth="1"/>
    <col min="2849" max="2849" width="9.140625" style="271"/>
    <col min="2850" max="2850" width="10" style="271" bestFit="1" customWidth="1"/>
    <col min="2851" max="3072" width="9.140625" style="271"/>
    <col min="3073" max="3073" width="2.28515625" style="271" customWidth="1"/>
    <col min="3074" max="3074" width="30.28515625" style="271" customWidth="1"/>
    <col min="3075" max="3075" width="4.42578125" style="271" customWidth="1"/>
    <col min="3076" max="3076" width="4.85546875" style="271" customWidth="1"/>
    <col min="3077" max="3077" width="3.28515625" style="271" customWidth="1"/>
    <col min="3078" max="3078" width="6.42578125" style="271" customWidth="1"/>
    <col min="3079" max="3080" width="8.140625" style="271" customWidth="1"/>
    <col min="3081" max="3081" width="7.28515625" style="271" customWidth="1"/>
    <col min="3082" max="3082" width="6.7109375" style="271" customWidth="1"/>
    <col min="3083" max="3083" width="6.85546875" style="271" customWidth="1"/>
    <col min="3084" max="3084" width="7.28515625" style="271" customWidth="1"/>
    <col min="3085" max="3085" width="7.42578125" style="271" customWidth="1"/>
    <col min="3086" max="3086" width="7" style="271" customWidth="1"/>
    <col min="3087" max="3087" width="7.140625" style="271" customWidth="1"/>
    <col min="3088" max="3088" width="7.28515625" style="271" customWidth="1"/>
    <col min="3089" max="3090" width="6.5703125" style="271" customWidth="1"/>
    <col min="3091" max="3091" width="11.7109375" style="271" customWidth="1"/>
    <col min="3092" max="3092" width="9.42578125" style="271" customWidth="1"/>
    <col min="3093" max="3093" width="8.7109375" style="271" customWidth="1"/>
    <col min="3094" max="3101" width="0" style="271" hidden="1" customWidth="1"/>
    <col min="3102" max="3102" width="12.42578125" style="271" customWidth="1"/>
    <col min="3103" max="3103" width="15.28515625" style="271" customWidth="1"/>
    <col min="3104" max="3104" width="11" style="271" bestFit="1" customWidth="1"/>
    <col min="3105" max="3105" width="9.140625" style="271"/>
    <col min="3106" max="3106" width="10" style="271" bestFit="1" customWidth="1"/>
    <col min="3107" max="3328" width="9.140625" style="271"/>
    <col min="3329" max="3329" width="2.28515625" style="271" customWidth="1"/>
    <col min="3330" max="3330" width="30.28515625" style="271" customWidth="1"/>
    <col min="3331" max="3331" width="4.42578125" style="271" customWidth="1"/>
    <col min="3332" max="3332" width="4.85546875" style="271" customWidth="1"/>
    <col min="3333" max="3333" width="3.28515625" style="271" customWidth="1"/>
    <col min="3334" max="3334" width="6.42578125" style="271" customWidth="1"/>
    <col min="3335" max="3336" width="8.140625" style="271" customWidth="1"/>
    <col min="3337" max="3337" width="7.28515625" style="271" customWidth="1"/>
    <col min="3338" max="3338" width="6.7109375" style="271" customWidth="1"/>
    <col min="3339" max="3339" width="6.85546875" style="271" customWidth="1"/>
    <col min="3340" max="3340" width="7.28515625" style="271" customWidth="1"/>
    <col min="3341" max="3341" width="7.42578125" style="271" customWidth="1"/>
    <col min="3342" max="3342" width="7" style="271" customWidth="1"/>
    <col min="3343" max="3343" width="7.140625" style="271" customWidth="1"/>
    <col min="3344" max="3344" width="7.28515625" style="271" customWidth="1"/>
    <col min="3345" max="3346" width="6.5703125" style="271" customWidth="1"/>
    <col min="3347" max="3347" width="11.7109375" style="271" customWidth="1"/>
    <col min="3348" max="3348" width="9.42578125" style="271" customWidth="1"/>
    <col min="3349" max="3349" width="8.7109375" style="271" customWidth="1"/>
    <col min="3350" max="3357" width="0" style="271" hidden="1" customWidth="1"/>
    <col min="3358" max="3358" width="12.42578125" style="271" customWidth="1"/>
    <col min="3359" max="3359" width="15.28515625" style="271" customWidth="1"/>
    <col min="3360" max="3360" width="11" style="271" bestFit="1" customWidth="1"/>
    <col min="3361" max="3361" width="9.140625" style="271"/>
    <col min="3362" max="3362" width="10" style="271" bestFit="1" customWidth="1"/>
    <col min="3363" max="3584" width="9.140625" style="271"/>
    <col min="3585" max="3585" width="2.28515625" style="271" customWidth="1"/>
    <col min="3586" max="3586" width="30.28515625" style="271" customWidth="1"/>
    <col min="3587" max="3587" width="4.42578125" style="271" customWidth="1"/>
    <col min="3588" max="3588" width="4.85546875" style="271" customWidth="1"/>
    <col min="3589" max="3589" width="3.28515625" style="271" customWidth="1"/>
    <col min="3590" max="3590" width="6.42578125" style="271" customWidth="1"/>
    <col min="3591" max="3592" width="8.140625" style="271" customWidth="1"/>
    <col min="3593" max="3593" width="7.28515625" style="271" customWidth="1"/>
    <col min="3594" max="3594" width="6.7109375" style="271" customWidth="1"/>
    <col min="3595" max="3595" width="6.85546875" style="271" customWidth="1"/>
    <col min="3596" max="3596" width="7.28515625" style="271" customWidth="1"/>
    <col min="3597" max="3597" width="7.42578125" style="271" customWidth="1"/>
    <col min="3598" max="3598" width="7" style="271" customWidth="1"/>
    <col min="3599" max="3599" width="7.140625" style="271" customWidth="1"/>
    <col min="3600" max="3600" width="7.28515625" style="271" customWidth="1"/>
    <col min="3601" max="3602" width="6.5703125" style="271" customWidth="1"/>
    <col min="3603" max="3603" width="11.7109375" style="271" customWidth="1"/>
    <col min="3604" max="3604" width="9.42578125" style="271" customWidth="1"/>
    <col min="3605" max="3605" width="8.7109375" style="271" customWidth="1"/>
    <col min="3606" max="3613" width="0" style="271" hidden="1" customWidth="1"/>
    <col min="3614" max="3614" width="12.42578125" style="271" customWidth="1"/>
    <col min="3615" max="3615" width="15.28515625" style="271" customWidth="1"/>
    <col min="3616" max="3616" width="11" style="271" bestFit="1" customWidth="1"/>
    <col min="3617" max="3617" width="9.140625" style="271"/>
    <col min="3618" max="3618" width="10" style="271" bestFit="1" customWidth="1"/>
    <col min="3619" max="3840" width="9.140625" style="271"/>
    <col min="3841" max="3841" width="2.28515625" style="271" customWidth="1"/>
    <col min="3842" max="3842" width="30.28515625" style="271" customWidth="1"/>
    <col min="3843" max="3843" width="4.42578125" style="271" customWidth="1"/>
    <col min="3844" max="3844" width="4.85546875" style="271" customWidth="1"/>
    <col min="3845" max="3845" width="3.28515625" style="271" customWidth="1"/>
    <col min="3846" max="3846" width="6.42578125" style="271" customWidth="1"/>
    <col min="3847" max="3848" width="8.140625" style="271" customWidth="1"/>
    <col min="3849" max="3849" width="7.28515625" style="271" customWidth="1"/>
    <col min="3850" max="3850" width="6.7109375" style="271" customWidth="1"/>
    <col min="3851" max="3851" width="6.85546875" style="271" customWidth="1"/>
    <col min="3852" max="3852" width="7.28515625" style="271" customWidth="1"/>
    <col min="3853" max="3853" width="7.42578125" style="271" customWidth="1"/>
    <col min="3854" max="3854" width="7" style="271" customWidth="1"/>
    <col min="3855" max="3855" width="7.140625" style="271" customWidth="1"/>
    <col min="3856" max="3856" width="7.28515625" style="271" customWidth="1"/>
    <col min="3857" max="3858" width="6.5703125" style="271" customWidth="1"/>
    <col min="3859" max="3859" width="11.7109375" style="271" customWidth="1"/>
    <col min="3860" max="3860" width="9.42578125" style="271" customWidth="1"/>
    <col min="3861" max="3861" width="8.7109375" style="271" customWidth="1"/>
    <col min="3862" max="3869" width="0" style="271" hidden="1" customWidth="1"/>
    <col min="3870" max="3870" width="12.42578125" style="271" customWidth="1"/>
    <col min="3871" max="3871" width="15.28515625" style="271" customWidth="1"/>
    <col min="3872" max="3872" width="11" style="271" bestFit="1" customWidth="1"/>
    <col min="3873" max="3873" width="9.140625" style="271"/>
    <col min="3874" max="3874" width="10" style="271" bestFit="1" customWidth="1"/>
    <col min="3875" max="4096" width="9.140625" style="271"/>
    <col min="4097" max="4097" width="2.28515625" style="271" customWidth="1"/>
    <col min="4098" max="4098" width="30.28515625" style="271" customWidth="1"/>
    <col min="4099" max="4099" width="4.42578125" style="271" customWidth="1"/>
    <col min="4100" max="4100" width="4.85546875" style="271" customWidth="1"/>
    <col min="4101" max="4101" width="3.28515625" style="271" customWidth="1"/>
    <col min="4102" max="4102" width="6.42578125" style="271" customWidth="1"/>
    <col min="4103" max="4104" width="8.140625" style="271" customWidth="1"/>
    <col min="4105" max="4105" width="7.28515625" style="271" customWidth="1"/>
    <col min="4106" max="4106" width="6.7109375" style="271" customWidth="1"/>
    <col min="4107" max="4107" width="6.85546875" style="271" customWidth="1"/>
    <col min="4108" max="4108" width="7.28515625" style="271" customWidth="1"/>
    <col min="4109" max="4109" width="7.42578125" style="271" customWidth="1"/>
    <col min="4110" max="4110" width="7" style="271" customWidth="1"/>
    <col min="4111" max="4111" width="7.140625" style="271" customWidth="1"/>
    <col min="4112" max="4112" width="7.28515625" style="271" customWidth="1"/>
    <col min="4113" max="4114" width="6.5703125" style="271" customWidth="1"/>
    <col min="4115" max="4115" width="11.7109375" style="271" customWidth="1"/>
    <col min="4116" max="4116" width="9.42578125" style="271" customWidth="1"/>
    <col min="4117" max="4117" width="8.7109375" style="271" customWidth="1"/>
    <col min="4118" max="4125" width="0" style="271" hidden="1" customWidth="1"/>
    <col min="4126" max="4126" width="12.42578125" style="271" customWidth="1"/>
    <col min="4127" max="4127" width="15.28515625" style="271" customWidth="1"/>
    <col min="4128" max="4128" width="11" style="271" bestFit="1" customWidth="1"/>
    <col min="4129" max="4129" width="9.140625" style="271"/>
    <col min="4130" max="4130" width="10" style="271" bestFit="1" customWidth="1"/>
    <col min="4131" max="4352" width="9.140625" style="271"/>
    <col min="4353" max="4353" width="2.28515625" style="271" customWidth="1"/>
    <col min="4354" max="4354" width="30.28515625" style="271" customWidth="1"/>
    <col min="4355" max="4355" width="4.42578125" style="271" customWidth="1"/>
    <col min="4356" max="4356" width="4.85546875" style="271" customWidth="1"/>
    <col min="4357" max="4357" width="3.28515625" style="271" customWidth="1"/>
    <col min="4358" max="4358" width="6.42578125" style="271" customWidth="1"/>
    <col min="4359" max="4360" width="8.140625" style="271" customWidth="1"/>
    <col min="4361" max="4361" width="7.28515625" style="271" customWidth="1"/>
    <col min="4362" max="4362" width="6.7109375" style="271" customWidth="1"/>
    <col min="4363" max="4363" width="6.85546875" style="271" customWidth="1"/>
    <col min="4364" max="4364" width="7.28515625" style="271" customWidth="1"/>
    <col min="4365" max="4365" width="7.42578125" style="271" customWidth="1"/>
    <col min="4366" max="4366" width="7" style="271" customWidth="1"/>
    <col min="4367" max="4367" width="7.140625" style="271" customWidth="1"/>
    <col min="4368" max="4368" width="7.28515625" style="271" customWidth="1"/>
    <col min="4369" max="4370" width="6.5703125" style="271" customWidth="1"/>
    <col min="4371" max="4371" width="11.7109375" style="271" customWidth="1"/>
    <col min="4372" max="4372" width="9.42578125" style="271" customWidth="1"/>
    <col min="4373" max="4373" width="8.7109375" style="271" customWidth="1"/>
    <col min="4374" max="4381" width="0" style="271" hidden="1" customWidth="1"/>
    <col min="4382" max="4382" width="12.42578125" style="271" customWidth="1"/>
    <col min="4383" max="4383" width="15.28515625" style="271" customWidth="1"/>
    <col min="4384" max="4384" width="11" style="271" bestFit="1" customWidth="1"/>
    <col min="4385" max="4385" width="9.140625" style="271"/>
    <col min="4386" max="4386" width="10" style="271" bestFit="1" customWidth="1"/>
    <col min="4387" max="4608" width="9.140625" style="271"/>
    <col min="4609" max="4609" width="2.28515625" style="271" customWidth="1"/>
    <col min="4610" max="4610" width="30.28515625" style="271" customWidth="1"/>
    <col min="4611" max="4611" width="4.42578125" style="271" customWidth="1"/>
    <col min="4612" max="4612" width="4.85546875" style="271" customWidth="1"/>
    <col min="4613" max="4613" width="3.28515625" style="271" customWidth="1"/>
    <col min="4614" max="4614" width="6.42578125" style="271" customWidth="1"/>
    <col min="4615" max="4616" width="8.140625" style="271" customWidth="1"/>
    <col min="4617" max="4617" width="7.28515625" style="271" customWidth="1"/>
    <col min="4618" max="4618" width="6.7109375" style="271" customWidth="1"/>
    <col min="4619" max="4619" width="6.85546875" style="271" customWidth="1"/>
    <col min="4620" max="4620" width="7.28515625" style="271" customWidth="1"/>
    <col min="4621" max="4621" width="7.42578125" style="271" customWidth="1"/>
    <col min="4622" max="4622" width="7" style="271" customWidth="1"/>
    <col min="4623" max="4623" width="7.140625" style="271" customWidth="1"/>
    <col min="4624" max="4624" width="7.28515625" style="271" customWidth="1"/>
    <col min="4625" max="4626" width="6.5703125" style="271" customWidth="1"/>
    <col min="4627" max="4627" width="11.7109375" style="271" customWidth="1"/>
    <col min="4628" max="4628" width="9.42578125" style="271" customWidth="1"/>
    <col min="4629" max="4629" width="8.7109375" style="271" customWidth="1"/>
    <col min="4630" max="4637" width="0" style="271" hidden="1" customWidth="1"/>
    <col min="4638" max="4638" width="12.42578125" style="271" customWidth="1"/>
    <col min="4639" max="4639" width="15.28515625" style="271" customWidth="1"/>
    <col min="4640" max="4640" width="11" style="271" bestFit="1" customWidth="1"/>
    <col min="4641" max="4641" width="9.140625" style="271"/>
    <col min="4642" max="4642" width="10" style="271" bestFit="1" customWidth="1"/>
    <col min="4643" max="4864" width="9.140625" style="271"/>
    <col min="4865" max="4865" width="2.28515625" style="271" customWidth="1"/>
    <col min="4866" max="4866" width="30.28515625" style="271" customWidth="1"/>
    <col min="4867" max="4867" width="4.42578125" style="271" customWidth="1"/>
    <col min="4868" max="4868" width="4.85546875" style="271" customWidth="1"/>
    <col min="4869" max="4869" width="3.28515625" style="271" customWidth="1"/>
    <col min="4870" max="4870" width="6.42578125" style="271" customWidth="1"/>
    <col min="4871" max="4872" width="8.140625" style="271" customWidth="1"/>
    <col min="4873" max="4873" width="7.28515625" style="271" customWidth="1"/>
    <col min="4874" max="4874" width="6.7109375" style="271" customWidth="1"/>
    <col min="4875" max="4875" width="6.85546875" style="271" customWidth="1"/>
    <col min="4876" max="4876" width="7.28515625" style="271" customWidth="1"/>
    <col min="4877" max="4877" width="7.42578125" style="271" customWidth="1"/>
    <col min="4878" max="4878" width="7" style="271" customWidth="1"/>
    <col min="4879" max="4879" width="7.140625" style="271" customWidth="1"/>
    <col min="4880" max="4880" width="7.28515625" style="271" customWidth="1"/>
    <col min="4881" max="4882" width="6.5703125" style="271" customWidth="1"/>
    <col min="4883" max="4883" width="11.7109375" style="271" customWidth="1"/>
    <col min="4884" max="4884" width="9.42578125" style="271" customWidth="1"/>
    <col min="4885" max="4885" width="8.7109375" style="271" customWidth="1"/>
    <col min="4886" max="4893" width="0" style="271" hidden="1" customWidth="1"/>
    <col min="4894" max="4894" width="12.42578125" style="271" customWidth="1"/>
    <col min="4895" max="4895" width="15.28515625" style="271" customWidth="1"/>
    <col min="4896" max="4896" width="11" style="271" bestFit="1" customWidth="1"/>
    <col min="4897" max="4897" width="9.140625" style="271"/>
    <col min="4898" max="4898" width="10" style="271" bestFit="1" customWidth="1"/>
    <col min="4899" max="5120" width="9.140625" style="271"/>
    <col min="5121" max="5121" width="2.28515625" style="271" customWidth="1"/>
    <col min="5122" max="5122" width="30.28515625" style="271" customWidth="1"/>
    <col min="5123" max="5123" width="4.42578125" style="271" customWidth="1"/>
    <col min="5124" max="5124" width="4.85546875" style="271" customWidth="1"/>
    <col min="5125" max="5125" width="3.28515625" style="271" customWidth="1"/>
    <col min="5126" max="5126" width="6.42578125" style="271" customWidth="1"/>
    <col min="5127" max="5128" width="8.140625" style="271" customWidth="1"/>
    <col min="5129" max="5129" width="7.28515625" style="271" customWidth="1"/>
    <col min="5130" max="5130" width="6.7109375" style="271" customWidth="1"/>
    <col min="5131" max="5131" width="6.85546875" style="271" customWidth="1"/>
    <col min="5132" max="5132" width="7.28515625" style="271" customWidth="1"/>
    <col min="5133" max="5133" width="7.42578125" style="271" customWidth="1"/>
    <col min="5134" max="5134" width="7" style="271" customWidth="1"/>
    <col min="5135" max="5135" width="7.140625" style="271" customWidth="1"/>
    <col min="5136" max="5136" width="7.28515625" style="271" customWidth="1"/>
    <col min="5137" max="5138" width="6.5703125" style="271" customWidth="1"/>
    <col min="5139" max="5139" width="11.7109375" style="271" customWidth="1"/>
    <col min="5140" max="5140" width="9.42578125" style="271" customWidth="1"/>
    <col min="5141" max="5141" width="8.7109375" style="271" customWidth="1"/>
    <col min="5142" max="5149" width="0" style="271" hidden="1" customWidth="1"/>
    <col min="5150" max="5150" width="12.42578125" style="271" customWidth="1"/>
    <col min="5151" max="5151" width="15.28515625" style="271" customWidth="1"/>
    <col min="5152" max="5152" width="11" style="271" bestFit="1" customWidth="1"/>
    <col min="5153" max="5153" width="9.140625" style="271"/>
    <col min="5154" max="5154" width="10" style="271" bestFit="1" customWidth="1"/>
    <col min="5155" max="5376" width="9.140625" style="271"/>
    <col min="5377" max="5377" width="2.28515625" style="271" customWidth="1"/>
    <col min="5378" max="5378" width="30.28515625" style="271" customWidth="1"/>
    <col min="5379" max="5379" width="4.42578125" style="271" customWidth="1"/>
    <col min="5380" max="5380" width="4.85546875" style="271" customWidth="1"/>
    <col min="5381" max="5381" width="3.28515625" style="271" customWidth="1"/>
    <col min="5382" max="5382" width="6.42578125" style="271" customWidth="1"/>
    <col min="5383" max="5384" width="8.140625" style="271" customWidth="1"/>
    <col min="5385" max="5385" width="7.28515625" style="271" customWidth="1"/>
    <col min="5386" max="5386" width="6.7109375" style="271" customWidth="1"/>
    <col min="5387" max="5387" width="6.85546875" style="271" customWidth="1"/>
    <col min="5388" max="5388" width="7.28515625" style="271" customWidth="1"/>
    <col min="5389" max="5389" width="7.42578125" style="271" customWidth="1"/>
    <col min="5390" max="5390" width="7" style="271" customWidth="1"/>
    <col min="5391" max="5391" width="7.140625" style="271" customWidth="1"/>
    <col min="5392" max="5392" width="7.28515625" style="271" customWidth="1"/>
    <col min="5393" max="5394" width="6.5703125" style="271" customWidth="1"/>
    <col min="5395" max="5395" width="11.7109375" style="271" customWidth="1"/>
    <col min="5396" max="5396" width="9.42578125" style="271" customWidth="1"/>
    <col min="5397" max="5397" width="8.7109375" style="271" customWidth="1"/>
    <col min="5398" max="5405" width="0" style="271" hidden="1" customWidth="1"/>
    <col min="5406" max="5406" width="12.42578125" style="271" customWidth="1"/>
    <col min="5407" max="5407" width="15.28515625" style="271" customWidth="1"/>
    <col min="5408" max="5408" width="11" style="271" bestFit="1" customWidth="1"/>
    <col min="5409" max="5409" width="9.140625" style="271"/>
    <col min="5410" max="5410" width="10" style="271" bestFit="1" customWidth="1"/>
    <col min="5411" max="5632" width="9.140625" style="271"/>
    <col min="5633" max="5633" width="2.28515625" style="271" customWidth="1"/>
    <col min="5634" max="5634" width="30.28515625" style="271" customWidth="1"/>
    <col min="5635" max="5635" width="4.42578125" style="271" customWidth="1"/>
    <col min="5636" max="5636" width="4.85546875" style="271" customWidth="1"/>
    <col min="5637" max="5637" width="3.28515625" style="271" customWidth="1"/>
    <col min="5638" max="5638" width="6.42578125" style="271" customWidth="1"/>
    <col min="5639" max="5640" width="8.140625" style="271" customWidth="1"/>
    <col min="5641" max="5641" width="7.28515625" style="271" customWidth="1"/>
    <col min="5642" max="5642" width="6.7109375" style="271" customWidth="1"/>
    <col min="5643" max="5643" width="6.85546875" style="271" customWidth="1"/>
    <col min="5644" max="5644" width="7.28515625" style="271" customWidth="1"/>
    <col min="5645" max="5645" width="7.42578125" style="271" customWidth="1"/>
    <col min="5646" max="5646" width="7" style="271" customWidth="1"/>
    <col min="5647" max="5647" width="7.140625" style="271" customWidth="1"/>
    <col min="5648" max="5648" width="7.28515625" style="271" customWidth="1"/>
    <col min="5649" max="5650" width="6.5703125" style="271" customWidth="1"/>
    <col min="5651" max="5651" width="11.7109375" style="271" customWidth="1"/>
    <col min="5652" max="5652" width="9.42578125" style="271" customWidth="1"/>
    <col min="5653" max="5653" width="8.7109375" style="271" customWidth="1"/>
    <col min="5654" max="5661" width="0" style="271" hidden="1" customWidth="1"/>
    <col min="5662" max="5662" width="12.42578125" style="271" customWidth="1"/>
    <col min="5663" max="5663" width="15.28515625" style="271" customWidth="1"/>
    <col min="5664" max="5664" width="11" style="271" bestFit="1" customWidth="1"/>
    <col min="5665" max="5665" width="9.140625" style="271"/>
    <col min="5666" max="5666" width="10" style="271" bestFit="1" customWidth="1"/>
    <col min="5667" max="5888" width="9.140625" style="271"/>
    <col min="5889" max="5889" width="2.28515625" style="271" customWidth="1"/>
    <col min="5890" max="5890" width="30.28515625" style="271" customWidth="1"/>
    <col min="5891" max="5891" width="4.42578125" style="271" customWidth="1"/>
    <col min="5892" max="5892" width="4.85546875" style="271" customWidth="1"/>
    <col min="5893" max="5893" width="3.28515625" style="271" customWidth="1"/>
    <col min="5894" max="5894" width="6.42578125" style="271" customWidth="1"/>
    <col min="5895" max="5896" width="8.140625" style="271" customWidth="1"/>
    <col min="5897" max="5897" width="7.28515625" style="271" customWidth="1"/>
    <col min="5898" max="5898" width="6.7109375" style="271" customWidth="1"/>
    <col min="5899" max="5899" width="6.85546875" style="271" customWidth="1"/>
    <col min="5900" max="5900" width="7.28515625" style="271" customWidth="1"/>
    <col min="5901" max="5901" width="7.42578125" style="271" customWidth="1"/>
    <col min="5902" max="5902" width="7" style="271" customWidth="1"/>
    <col min="5903" max="5903" width="7.140625" style="271" customWidth="1"/>
    <col min="5904" max="5904" width="7.28515625" style="271" customWidth="1"/>
    <col min="5905" max="5906" width="6.5703125" style="271" customWidth="1"/>
    <col min="5907" max="5907" width="11.7109375" style="271" customWidth="1"/>
    <col min="5908" max="5908" width="9.42578125" style="271" customWidth="1"/>
    <col min="5909" max="5909" width="8.7109375" style="271" customWidth="1"/>
    <col min="5910" max="5917" width="0" style="271" hidden="1" customWidth="1"/>
    <col min="5918" max="5918" width="12.42578125" style="271" customWidth="1"/>
    <col min="5919" max="5919" width="15.28515625" style="271" customWidth="1"/>
    <col min="5920" max="5920" width="11" style="271" bestFit="1" customWidth="1"/>
    <col min="5921" max="5921" width="9.140625" style="271"/>
    <col min="5922" max="5922" width="10" style="271" bestFit="1" customWidth="1"/>
    <col min="5923" max="6144" width="9.140625" style="271"/>
    <col min="6145" max="6145" width="2.28515625" style="271" customWidth="1"/>
    <col min="6146" max="6146" width="30.28515625" style="271" customWidth="1"/>
    <col min="6147" max="6147" width="4.42578125" style="271" customWidth="1"/>
    <col min="6148" max="6148" width="4.85546875" style="271" customWidth="1"/>
    <col min="6149" max="6149" width="3.28515625" style="271" customWidth="1"/>
    <col min="6150" max="6150" width="6.42578125" style="271" customWidth="1"/>
    <col min="6151" max="6152" width="8.140625" style="271" customWidth="1"/>
    <col min="6153" max="6153" width="7.28515625" style="271" customWidth="1"/>
    <col min="6154" max="6154" width="6.7109375" style="271" customWidth="1"/>
    <col min="6155" max="6155" width="6.85546875" style="271" customWidth="1"/>
    <col min="6156" max="6156" width="7.28515625" style="271" customWidth="1"/>
    <col min="6157" max="6157" width="7.42578125" style="271" customWidth="1"/>
    <col min="6158" max="6158" width="7" style="271" customWidth="1"/>
    <col min="6159" max="6159" width="7.140625" style="271" customWidth="1"/>
    <col min="6160" max="6160" width="7.28515625" style="271" customWidth="1"/>
    <col min="6161" max="6162" width="6.5703125" style="271" customWidth="1"/>
    <col min="6163" max="6163" width="11.7109375" style="271" customWidth="1"/>
    <col min="6164" max="6164" width="9.42578125" style="271" customWidth="1"/>
    <col min="6165" max="6165" width="8.7109375" style="271" customWidth="1"/>
    <col min="6166" max="6173" width="0" style="271" hidden="1" customWidth="1"/>
    <col min="6174" max="6174" width="12.42578125" style="271" customWidth="1"/>
    <col min="6175" max="6175" width="15.28515625" style="271" customWidth="1"/>
    <col min="6176" max="6176" width="11" style="271" bestFit="1" customWidth="1"/>
    <col min="6177" max="6177" width="9.140625" style="271"/>
    <col min="6178" max="6178" width="10" style="271" bestFit="1" customWidth="1"/>
    <col min="6179" max="6400" width="9.140625" style="271"/>
    <col min="6401" max="6401" width="2.28515625" style="271" customWidth="1"/>
    <col min="6402" max="6402" width="30.28515625" style="271" customWidth="1"/>
    <col min="6403" max="6403" width="4.42578125" style="271" customWidth="1"/>
    <col min="6404" max="6404" width="4.85546875" style="271" customWidth="1"/>
    <col min="6405" max="6405" width="3.28515625" style="271" customWidth="1"/>
    <col min="6406" max="6406" width="6.42578125" style="271" customWidth="1"/>
    <col min="6407" max="6408" width="8.140625" style="271" customWidth="1"/>
    <col min="6409" max="6409" width="7.28515625" style="271" customWidth="1"/>
    <col min="6410" max="6410" width="6.7109375" style="271" customWidth="1"/>
    <col min="6411" max="6411" width="6.85546875" style="271" customWidth="1"/>
    <col min="6412" max="6412" width="7.28515625" style="271" customWidth="1"/>
    <col min="6413" max="6413" width="7.42578125" style="271" customWidth="1"/>
    <col min="6414" max="6414" width="7" style="271" customWidth="1"/>
    <col min="6415" max="6415" width="7.140625" style="271" customWidth="1"/>
    <col min="6416" max="6416" width="7.28515625" style="271" customWidth="1"/>
    <col min="6417" max="6418" width="6.5703125" style="271" customWidth="1"/>
    <col min="6419" max="6419" width="11.7109375" style="271" customWidth="1"/>
    <col min="6420" max="6420" width="9.42578125" style="271" customWidth="1"/>
    <col min="6421" max="6421" width="8.7109375" style="271" customWidth="1"/>
    <col min="6422" max="6429" width="0" style="271" hidden="1" customWidth="1"/>
    <col min="6430" max="6430" width="12.42578125" style="271" customWidth="1"/>
    <col min="6431" max="6431" width="15.28515625" style="271" customWidth="1"/>
    <col min="6432" max="6432" width="11" style="271" bestFit="1" customWidth="1"/>
    <col min="6433" max="6433" width="9.140625" style="271"/>
    <col min="6434" max="6434" width="10" style="271" bestFit="1" customWidth="1"/>
    <col min="6435" max="6656" width="9.140625" style="271"/>
    <col min="6657" max="6657" width="2.28515625" style="271" customWidth="1"/>
    <col min="6658" max="6658" width="30.28515625" style="271" customWidth="1"/>
    <col min="6659" max="6659" width="4.42578125" style="271" customWidth="1"/>
    <col min="6660" max="6660" width="4.85546875" style="271" customWidth="1"/>
    <col min="6661" max="6661" width="3.28515625" style="271" customWidth="1"/>
    <col min="6662" max="6662" width="6.42578125" style="271" customWidth="1"/>
    <col min="6663" max="6664" width="8.140625" style="271" customWidth="1"/>
    <col min="6665" max="6665" width="7.28515625" style="271" customWidth="1"/>
    <col min="6666" max="6666" width="6.7109375" style="271" customWidth="1"/>
    <col min="6667" max="6667" width="6.85546875" style="271" customWidth="1"/>
    <col min="6668" max="6668" width="7.28515625" style="271" customWidth="1"/>
    <col min="6669" max="6669" width="7.42578125" style="271" customWidth="1"/>
    <col min="6670" max="6670" width="7" style="271" customWidth="1"/>
    <col min="6671" max="6671" width="7.140625" style="271" customWidth="1"/>
    <col min="6672" max="6672" width="7.28515625" style="271" customWidth="1"/>
    <col min="6673" max="6674" width="6.5703125" style="271" customWidth="1"/>
    <col min="6675" max="6675" width="11.7109375" style="271" customWidth="1"/>
    <col min="6676" max="6676" width="9.42578125" style="271" customWidth="1"/>
    <col min="6677" max="6677" width="8.7109375" style="271" customWidth="1"/>
    <col min="6678" max="6685" width="0" style="271" hidden="1" customWidth="1"/>
    <col min="6686" max="6686" width="12.42578125" style="271" customWidth="1"/>
    <col min="6687" max="6687" width="15.28515625" style="271" customWidth="1"/>
    <col min="6688" max="6688" width="11" style="271" bestFit="1" customWidth="1"/>
    <col min="6689" max="6689" width="9.140625" style="271"/>
    <col min="6690" max="6690" width="10" style="271" bestFit="1" customWidth="1"/>
    <col min="6691" max="6912" width="9.140625" style="271"/>
    <col min="6913" max="6913" width="2.28515625" style="271" customWidth="1"/>
    <col min="6914" max="6914" width="30.28515625" style="271" customWidth="1"/>
    <col min="6915" max="6915" width="4.42578125" style="271" customWidth="1"/>
    <col min="6916" max="6916" width="4.85546875" style="271" customWidth="1"/>
    <col min="6917" max="6917" width="3.28515625" style="271" customWidth="1"/>
    <col min="6918" max="6918" width="6.42578125" style="271" customWidth="1"/>
    <col min="6919" max="6920" width="8.140625" style="271" customWidth="1"/>
    <col min="6921" max="6921" width="7.28515625" style="271" customWidth="1"/>
    <col min="6922" max="6922" width="6.7109375" style="271" customWidth="1"/>
    <col min="6923" max="6923" width="6.85546875" style="271" customWidth="1"/>
    <col min="6924" max="6924" width="7.28515625" style="271" customWidth="1"/>
    <col min="6925" max="6925" width="7.42578125" style="271" customWidth="1"/>
    <col min="6926" max="6926" width="7" style="271" customWidth="1"/>
    <col min="6927" max="6927" width="7.140625" style="271" customWidth="1"/>
    <col min="6928" max="6928" width="7.28515625" style="271" customWidth="1"/>
    <col min="6929" max="6930" width="6.5703125" style="271" customWidth="1"/>
    <col min="6931" max="6931" width="11.7109375" style="271" customWidth="1"/>
    <col min="6932" max="6932" width="9.42578125" style="271" customWidth="1"/>
    <col min="6933" max="6933" width="8.7109375" style="271" customWidth="1"/>
    <col min="6934" max="6941" width="0" style="271" hidden="1" customWidth="1"/>
    <col min="6942" max="6942" width="12.42578125" style="271" customWidth="1"/>
    <col min="6943" max="6943" width="15.28515625" style="271" customWidth="1"/>
    <col min="6944" max="6944" width="11" style="271" bestFit="1" customWidth="1"/>
    <col min="6945" max="6945" width="9.140625" style="271"/>
    <col min="6946" max="6946" width="10" style="271" bestFit="1" customWidth="1"/>
    <col min="6947" max="7168" width="9.140625" style="271"/>
    <col min="7169" max="7169" width="2.28515625" style="271" customWidth="1"/>
    <col min="7170" max="7170" width="30.28515625" style="271" customWidth="1"/>
    <col min="7171" max="7171" width="4.42578125" style="271" customWidth="1"/>
    <col min="7172" max="7172" width="4.85546875" style="271" customWidth="1"/>
    <col min="7173" max="7173" width="3.28515625" style="271" customWidth="1"/>
    <col min="7174" max="7174" width="6.42578125" style="271" customWidth="1"/>
    <col min="7175" max="7176" width="8.140625" style="271" customWidth="1"/>
    <col min="7177" max="7177" width="7.28515625" style="271" customWidth="1"/>
    <col min="7178" max="7178" width="6.7109375" style="271" customWidth="1"/>
    <col min="7179" max="7179" width="6.85546875" style="271" customWidth="1"/>
    <col min="7180" max="7180" width="7.28515625" style="271" customWidth="1"/>
    <col min="7181" max="7181" width="7.42578125" style="271" customWidth="1"/>
    <col min="7182" max="7182" width="7" style="271" customWidth="1"/>
    <col min="7183" max="7183" width="7.140625" style="271" customWidth="1"/>
    <col min="7184" max="7184" width="7.28515625" style="271" customWidth="1"/>
    <col min="7185" max="7186" width="6.5703125" style="271" customWidth="1"/>
    <col min="7187" max="7187" width="11.7109375" style="271" customWidth="1"/>
    <col min="7188" max="7188" width="9.42578125" style="271" customWidth="1"/>
    <col min="7189" max="7189" width="8.7109375" style="271" customWidth="1"/>
    <col min="7190" max="7197" width="0" style="271" hidden="1" customWidth="1"/>
    <col min="7198" max="7198" width="12.42578125" style="271" customWidth="1"/>
    <col min="7199" max="7199" width="15.28515625" style="271" customWidth="1"/>
    <col min="7200" max="7200" width="11" style="271" bestFit="1" customWidth="1"/>
    <col min="7201" max="7201" width="9.140625" style="271"/>
    <col min="7202" max="7202" width="10" style="271" bestFit="1" customWidth="1"/>
    <col min="7203" max="7424" width="9.140625" style="271"/>
    <col min="7425" max="7425" width="2.28515625" style="271" customWidth="1"/>
    <col min="7426" max="7426" width="30.28515625" style="271" customWidth="1"/>
    <col min="7427" max="7427" width="4.42578125" style="271" customWidth="1"/>
    <col min="7428" max="7428" width="4.85546875" style="271" customWidth="1"/>
    <col min="7429" max="7429" width="3.28515625" style="271" customWidth="1"/>
    <col min="7430" max="7430" width="6.42578125" style="271" customWidth="1"/>
    <col min="7431" max="7432" width="8.140625" style="271" customWidth="1"/>
    <col min="7433" max="7433" width="7.28515625" style="271" customWidth="1"/>
    <col min="7434" max="7434" width="6.7109375" style="271" customWidth="1"/>
    <col min="7435" max="7435" width="6.85546875" style="271" customWidth="1"/>
    <col min="7436" max="7436" width="7.28515625" style="271" customWidth="1"/>
    <col min="7437" max="7437" width="7.42578125" style="271" customWidth="1"/>
    <col min="7438" max="7438" width="7" style="271" customWidth="1"/>
    <col min="7439" max="7439" width="7.140625" style="271" customWidth="1"/>
    <col min="7440" max="7440" width="7.28515625" style="271" customWidth="1"/>
    <col min="7441" max="7442" width="6.5703125" style="271" customWidth="1"/>
    <col min="7443" max="7443" width="11.7109375" style="271" customWidth="1"/>
    <col min="7444" max="7444" width="9.42578125" style="271" customWidth="1"/>
    <col min="7445" max="7445" width="8.7109375" style="271" customWidth="1"/>
    <col min="7446" max="7453" width="0" style="271" hidden="1" customWidth="1"/>
    <col min="7454" max="7454" width="12.42578125" style="271" customWidth="1"/>
    <col min="7455" max="7455" width="15.28515625" style="271" customWidth="1"/>
    <col min="7456" max="7456" width="11" style="271" bestFit="1" customWidth="1"/>
    <col min="7457" max="7457" width="9.140625" style="271"/>
    <col min="7458" max="7458" width="10" style="271" bestFit="1" customWidth="1"/>
    <col min="7459" max="7680" width="9.140625" style="271"/>
    <col min="7681" max="7681" width="2.28515625" style="271" customWidth="1"/>
    <col min="7682" max="7682" width="30.28515625" style="271" customWidth="1"/>
    <col min="7683" max="7683" width="4.42578125" style="271" customWidth="1"/>
    <col min="7684" max="7684" width="4.85546875" style="271" customWidth="1"/>
    <col min="7685" max="7685" width="3.28515625" style="271" customWidth="1"/>
    <col min="7686" max="7686" width="6.42578125" style="271" customWidth="1"/>
    <col min="7687" max="7688" width="8.140625" style="271" customWidth="1"/>
    <col min="7689" max="7689" width="7.28515625" style="271" customWidth="1"/>
    <col min="7690" max="7690" width="6.7109375" style="271" customWidth="1"/>
    <col min="7691" max="7691" width="6.85546875" style="271" customWidth="1"/>
    <col min="7692" max="7692" width="7.28515625" style="271" customWidth="1"/>
    <col min="7693" max="7693" width="7.42578125" style="271" customWidth="1"/>
    <col min="7694" max="7694" width="7" style="271" customWidth="1"/>
    <col min="7695" max="7695" width="7.140625" style="271" customWidth="1"/>
    <col min="7696" max="7696" width="7.28515625" style="271" customWidth="1"/>
    <col min="7697" max="7698" width="6.5703125" style="271" customWidth="1"/>
    <col min="7699" max="7699" width="11.7109375" style="271" customWidth="1"/>
    <col min="7700" max="7700" width="9.42578125" style="271" customWidth="1"/>
    <col min="7701" max="7701" width="8.7109375" style="271" customWidth="1"/>
    <col min="7702" max="7709" width="0" style="271" hidden="1" customWidth="1"/>
    <col min="7710" max="7710" width="12.42578125" style="271" customWidth="1"/>
    <col min="7711" max="7711" width="15.28515625" style="271" customWidth="1"/>
    <col min="7712" max="7712" width="11" style="271" bestFit="1" customWidth="1"/>
    <col min="7713" max="7713" width="9.140625" style="271"/>
    <col min="7714" max="7714" width="10" style="271" bestFit="1" customWidth="1"/>
    <col min="7715" max="7936" width="9.140625" style="271"/>
    <col min="7937" max="7937" width="2.28515625" style="271" customWidth="1"/>
    <col min="7938" max="7938" width="30.28515625" style="271" customWidth="1"/>
    <col min="7939" max="7939" width="4.42578125" style="271" customWidth="1"/>
    <col min="7940" max="7940" width="4.85546875" style="271" customWidth="1"/>
    <col min="7941" max="7941" width="3.28515625" style="271" customWidth="1"/>
    <col min="7942" max="7942" width="6.42578125" style="271" customWidth="1"/>
    <col min="7943" max="7944" width="8.140625" style="271" customWidth="1"/>
    <col min="7945" max="7945" width="7.28515625" style="271" customWidth="1"/>
    <col min="7946" max="7946" width="6.7109375" style="271" customWidth="1"/>
    <col min="7947" max="7947" width="6.85546875" style="271" customWidth="1"/>
    <col min="7948" max="7948" width="7.28515625" style="271" customWidth="1"/>
    <col min="7949" max="7949" width="7.42578125" style="271" customWidth="1"/>
    <col min="7950" max="7950" width="7" style="271" customWidth="1"/>
    <col min="7951" max="7951" width="7.140625" style="271" customWidth="1"/>
    <col min="7952" max="7952" width="7.28515625" style="271" customWidth="1"/>
    <col min="7953" max="7954" width="6.5703125" style="271" customWidth="1"/>
    <col min="7955" max="7955" width="11.7109375" style="271" customWidth="1"/>
    <col min="7956" max="7956" width="9.42578125" style="271" customWidth="1"/>
    <col min="7957" max="7957" width="8.7109375" style="271" customWidth="1"/>
    <col min="7958" max="7965" width="0" style="271" hidden="1" customWidth="1"/>
    <col min="7966" max="7966" width="12.42578125" style="271" customWidth="1"/>
    <col min="7967" max="7967" width="15.28515625" style="271" customWidth="1"/>
    <col min="7968" max="7968" width="11" style="271" bestFit="1" customWidth="1"/>
    <col min="7969" max="7969" width="9.140625" style="271"/>
    <col min="7970" max="7970" width="10" style="271" bestFit="1" customWidth="1"/>
    <col min="7971" max="8192" width="9.140625" style="271"/>
    <col min="8193" max="8193" width="2.28515625" style="271" customWidth="1"/>
    <col min="8194" max="8194" width="30.28515625" style="271" customWidth="1"/>
    <col min="8195" max="8195" width="4.42578125" style="271" customWidth="1"/>
    <col min="8196" max="8196" width="4.85546875" style="271" customWidth="1"/>
    <col min="8197" max="8197" width="3.28515625" style="271" customWidth="1"/>
    <col min="8198" max="8198" width="6.42578125" style="271" customWidth="1"/>
    <col min="8199" max="8200" width="8.140625" style="271" customWidth="1"/>
    <col min="8201" max="8201" width="7.28515625" style="271" customWidth="1"/>
    <col min="8202" max="8202" width="6.7109375" style="271" customWidth="1"/>
    <col min="8203" max="8203" width="6.85546875" style="271" customWidth="1"/>
    <col min="8204" max="8204" width="7.28515625" style="271" customWidth="1"/>
    <col min="8205" max="8205" width="7.42578125" style="271" customWidth="1"/>
    <col min="8206" max="8206" width="7" style="271" customWidth="1"/>
    <col min="8207" max="8207" width="7.140625" style="271" customWidth="1"/>
    <col min="8208" max="8208" width="7.28515625" style="271" customWidth="1"/>
    <col min="8209" max="8210" width="6.5703125" style="271" customWidth="1"/>
    <col min="8211" max="8211" width="11.7109375" style="271" customWidth="1"/>
    <col min="8212" max="8212" width="9.42578125" style="271" customWidth="1"/>
    <col min="8213" max="8213" width="8.7109375" style="271" customWidth="1"/>
    <col min="8214" max="8221" width="0" style="271" hidden="1" customWidth="1"/>
    <col min="8222" max="8222" width="12.42578125" style="271" customWidth="1"/>
    <col min="8223" max="8223" width="15.28515625" style="271" customWidth="1"/>
    <col min="8224" max="8224" width="11" style="271" bestFit="1" customWidth="1"/>
    <col min="8225" max="8225" width="9.140625" style="271"/>
    <col min="8226" max="8226" width="10" style="271" bestFit="1" customWidth="1"/>
    <col min="8227" max="8448" width="9.140625" style="271"/>
    <col min="8449" max="8449" width="2.28515625" style="271" customWidth="1"/>
    <col min="8450" max="8450" width="30.28515625" style="271" customWidth="1"/>
    <col min="8451" max="8451" width="4.42578125" style="271" customWidth="1"/>
    <col min="8452" max="8452" width="4.85546875" style="271" customWidth="1"/>
    <col min="8453" max="8453" width="3.28515625" style="271" customWidth="1"/>
    <col min="8454" max="8454" width="6.42578125" style="271" customWidth="1"/>
    <col min="8455" max="8456" width="8.140625" style="271" customWidth="1"/>
    <col min="8457" max="8457" width="7.28515625" style="271" customWidth="1"/>
    <col min="8458" max="8458" width="6.7109375" style="271" customWidth="1"/>
    <col min="8459" max="8459" width="6.85546875" style="271" customWidth="1"/>
    <col min="8460" max="8460" width="7.28515625" style="271" customWidth="1"/>
    <col min="8461" max="8461" width="7.42578125" style="271" customWidth="1"/>
    <col min="8462" max="8462" width="7" style="271" customWidth="1"/>
    <col min="8463" max="8463" width="7.140625" style="271" customWidth="1"/>
    <col min="8464" max="8464" width="7.28515625" style="271" customWidth="1"/>
    <col min="8465" max="8466" width="6.5703125" style="271" customWidth="1"/>
    <col min="8467" max="8467" width="11.7109375" style="271" customWidth="1"/>
    <col min="8468" max="8468" width="9.42578125" style="271" customWidth="1"/>
    <col min="8469" max="8469" width="8.7109375" style="271" customWidth="1"/>
    <col min="8470" max="8477" width="0" style="271" hidden="1" customWidth="1"/>
    <col min="8478" max="8478" width="12.42578125" style="271" customWidth="1"/>
    <col min="8479" max="8479" width="15.28515625" style="271" customWidth="1"/>
    <col min="8480" max="8480" width="11" style="271" bestFit="1" customWidth="1"/>
    <col min="8481" max="8481" width="9.140625" style="271"/>
    <col min="8482" max="8482" width="10" style="271" bestFit="1" customWidth="1"/>
    <col min="8483" max="8704" width="9.140625" style="271"/>
    <col min="8705" max="8705" width="2.28515625" style="271" customWidth="1"/>
    <col min="8706" max="8706" width="30.28515625" style="271" customWidth="1"/>
    <col min="8707" max="8707" width="4.42578125" style="271" customWidth="1"/>
    <col min="8708" max="8708" width="4.85546875" style="271" customWidth="1"/>
    <col min="8709" max="8709" width="3.28515625" style="271" customWidth="1"/>
    <col min="8710" max="8710" width="6.42578125" style="271" customWidth="1"/>
    <col min="8711" max="8712" width="8.140625" style="271" customWidth="1"/>
    <col min="8713" max="8713" width="7.28515625" style="271" customWidth="1"/>
    <col min="8714" max="8714" width="6.7109375" style="271" customWidth="1"/>
    <col min="8715" max="8715" width="6.85546875" style="271" customWidth="1"/>
    <col min="8716" max="8716" width="7.28515625" style="271" customWidth="1"/>
    <col min="8717" max="8717" width="7.42578125" style="271" customWidth="1"/>
    <col min="8718" max="8718" width="7" style="271" customWidth="1"/>
    <col min="8719" max="8719" width="7.140625" style="271" customWidth="1"/>
    <col min="8720" max="8720" width="7.28515625" style="271" customWidth="1"/>
    <col min="8721" max="8722" width="6.5703125" style="271" customWidth="1"/>
    <col min="8723" max="8723" width="11.7109375" style="271" customWidth="1"/>
    <col min="8724" max="8724" width="9.42578125" style="271" customWidth="1"/>
    <col min="8725" max="8725" width="8.7109375" style="271" customWidth="1"/>
    <col min="8726" max="8733" width="0" style="271" hidden="1" customWidth="1"/>
    <col min="8734" max="8734" width="12.42578125" style="271" customWidth="1"/>
    <col min="8735" max="8735" width="15.28515625" style="271" customWidth="1"/>
    <col min="8736" max="8736" width="11" style="271" bestFit="1" customWidth="1"/>
    <col min="8737" max="8737" width="9.140625" style="271"/>
    <col min="8738" max="8738" width="10" style="271" bestFit="1" customWidth="1"/>
    <col min="8739" max="8960" width="9.140625" style="271"/>
    <col min="8961" max="8961" width="2.28515625" style="271" customWidth="1"/>
    <col min="8962" max="8962" width="30.28515625" style="271" customWidth="1"/>
    <col min="8963" max="8963" width="4.42578125" style="271" customWidth="1"/>
    <col min="8964" max="8964" width="4.85546875" style="271" customWidth="1"/>
    <col min="8965" max="8965" width="3.28515625" style="271" customWidth="1"/>
    <col min="8966" max="8966" width="6.42578125" style="271" customWidth="1"/>
    <col min="8967" max="8968" width="8.140625" style="271" customWidth="1"/>
    <col min="8969" max="8969" width="7.28515625" style="271" customWidth="1"/>
    <col min="8970" max="8970" width="6.7109375" style="271" customWidth="1"/>
    <col min="8971" max="8971" width="6.85546875" style="271" customWidth="1"/>
    <col min="8972" max="8972" width="7.28515625" style="271" customWidth="1"/>
    <col min="8973" max="8973" width="7.42578125" style="271" customWidth="1"/>
    <col min="8974" max="8974" width="7" style="271" customWidth="1"/>
    <col min="8975" max="8975" width="7.140625" style="271" customWidth="1"/>
    <col min="8976" max="8976" width="7.28515625" style="271" customWidth="1"/>
    <col min="8977" max="8978" width="6.5703125" style="271" customWidth="1"/>
    <col min="8979" max="8979" width="11.7109375" style="271" customWidth="1"/>
    <col min="8980" max="8980" width="9.42578125" style="271" customWidth="1"/>
    <col min="8981" max="8981" width="8.7109375" style="271" customWidth="1"/>
    <col min="8982" max="8989" width="0" style="271" hidden="1" customWidth="1"/>
    <col min="8990" max="8990" width="12.42578125" style="271" customWidth="1"/>
    <col min="8991" max="8991" width="15.28515625" style="271" customWidth="1"/>
    <col min="8992" max="8992" width="11" style="271" bestFit="1" customWidth="1"/>
    <col min="8993" max="8993" width="9.140625" style="271"/>
    <col min="8994" max="8994" width="10" style="271" bestFit="1" customWidth="1"/>
    <col min="8995" max="9216" width="9.140625" style="271"/>
    <col min="9217" max="9217" width="2.28515625" style="271" customWidth="1"/>
    <col min="9218" max="9218" width="30.28515625" style="271" customWidth="1"/>
    <col min="9219" max="9219" width="4.42578125" style="271" customWidth="1"/>
    <col min="9220" max="9220" width="4.85546875" style="271" customWidth="1"/>
    <col min="9221" max="9221" width="3.28515625" style="271" customWidth="1"/>
    <col min="9222" max="9222" width="6.42578125" style="271" customWidth="1"/>
    <col min="9223" max="9224" width="8.140625" style="271" customWidth="1"/>
    <col min="9225" max="9225" width="7.28515625" style="271" customWidth="1"/>
    <col min="9226" max="9226" width="6.7109375" style="271" customWidth="1"/>
    <col min="9227" max="9227" width="6.85546875" style="271" customWidth="1"/>
    <col min="9228" max="9228" width="7.28515625" style="271" customWidth="1"/>
    <col min="9229" max="9229" width="7.42578125" style="271" customWidth="1"/>
    <col min="9230" max="9230" width="7" style="271" customWidth="1"/>
    <col min="9231" max="9231" width="7.140625" style="271" customWidth="1"/>
    <col min="9232" max="9232" width="7.28515625" style="271" customWidth="1"/>
    <col min="9233" max="9234" width="6.5703125" style="271" customWidth="1"/>
    <col min="9235" max="9235" width="11.7109375" style="271" customWidth="1"/>
    <col min="9236" max="9236" width="9.42578125" style="271" customWidth="1"/>
    <col min="9237" max="9237" width="8.7109375" style="271" customWidth="1"/>
    <col min="9238" max="9245" width="0" style="271" hidden="1" customWidth="1"/>
    <col min="9246" max="9246" width="12.42578125" style="271" customWidth="1"/>
    <col min="9247" max="9247" width="15.28515625" style="271" customWidth="1"/>
    <col min="9248" max="9248" width="11" style="271" bestFit="1" customWidth="1"/>
    <col min="9249" max="9249" width="9.140625" style="271"/>
    <col min="9250" max="9250" width="10" style="271" bestFit="1" customWidth="1"/>
    <col min="9251" max="9472" width="9.140625" style="271"/>
    <col min="9473" max="9473" width="2.28515625" style="271" customWidth="1"/>
    <col min="9474" max="9474" width="30.28515625" style="271" customWidth="1"/>
    <col min="9475" max="9475" width="4.42578125" style="271" customWidth="1"/>
    <col min="9476" max="9476" width="4.85546875" style="271" customWidth="1"/>
    <col min="9477" max="9477" width="3.28515625" style="271" customWidth="1"/>
    <col min="9478" max="9478" width="6.42578125" style="271" customWidth="1"/>
    <col min="9479" max="9480" width="8.140625" style="271" customWidth="1"/>
    <col min="9481" max="9481" width="7.28515625" style="271" customWidth="1"/>
    <col min="9482" max="9482" width="6.7109375" style="271" customWidth="1"/>
    <col min="9483" max="9483" width="6.85546875" style="271" customWidth="1"/>
    <col min="9484" max="9484" width="7.28515625" style="271" customWidth="1"/>
    <col min="9485" max="9485" width="7.42578125" style="271" customWidth="1"/>
    <col min="9486" max="9486" width="7" style="271" customWidth="1"/>
    <col min="9487" max="9487" width="7.140625" style="271" customWidth="1"/>
    <col min="9488" max="9488" width="7.28515625" style="271" customWidth="1"/>
    <col min="9489" max="9490" width="6.5703125" style="271" customWidth="1"/>
    <col min="9491" max="9491" width="11.7109375" style="271" customWidth="1"/>
    <col min="9492" max="9492" width="9.42578125" style="271" customWidth="1"/>
    <col min="9493" max="9493" width="8.7109375" style="271" customWidth="1"/>
    <col min="9494" max="9501" width="0" style="271" hidden="1" customWidth="1"/>
    <col min="9502" max="9502" width="12.42578125" style="271" customWidth="1"/>
    <col min="9503" max="9503" width="15.28515625" style="271" customWidth="1"/>
    <col min="9504" max="9504" width="11" style="271" bestFit="1" customWidth="1"/>
    <col min="9505" max="9505" width="9.140625" style="271"/>
    <col min="9506" max="9506" width="10" style="271" bestFit="1" customWidth="1"/>
    <col min="9507" max="9728" width="9.140625" style="271"/>
    <col min="9729" max="9729" width="2.28515625" style="271" customWidth="1"/>
    <col min="9730" max="9730" width="30.28515625" style="271" customWidth="1"/>
    <col min="9731" max="9731" width="4.42578125" style="271" customWidth="1"/>
    <col min="9732" max="9732" width="4.85546875" style="271" customWidth="1"/>
    <col min="9733" max="9733" width="3.28515625" style="271" customWidth="1"/>
    <col min="9734" max="9734" width="6.42578125" style="271" customWidth="1"/>
    <col min="9735" max="9736" width="8.140625" style="271" customWidth="1"/>
    <col min="9737" max="9737" width="7.28515625" style="271" customWidth="1"/>
    <col min="9738" max="9738" width="6.7109375" style="271" customWidth="1"/>
    <col min="9739" max="9739" width="6.85546875" style="271" customWidth="1"/>
    <col min="9740" max="9740" width="7.28515625" style="271" customWidth="1"/>
    <col min="9741" max="9741" width="7.42578125" style="271" customWidth="1"/>
    <col min="9742" max="9742" width="7" style="271" customWidth="1"/>
    <col min="9743" max="9743" width="7.140625" style="271" customWidth="1"/>
    <col min="9744" max="9744" width="7.28515625" style="271" customWidth="1"/>
    <col min="9745" max="9746" width="6.5703125" style="271" customWidth="1"/>
    <col min="9747" max="9747" width="11.7109375" style="271" customWidth="1"/>
    <col min="9748" max="9748" width="9.42578125" style="271" customWidth="1"/>
    <col min="9749" max="9749" width="8.7109375" style="271" customWidth="1"/>
    <col min="9750" max="9757" width="0" style="271" hidden="1" customWidth="1"/>
    <col min="9758" max="9758" width="12.42578125" style="271" customWidth="1"/>
    <col min="9759" max="9759" width="15.28515625" style="271" customWidth="1"/>
    <col min="9760" max="9760" width="11" style="271" bestFit="1" customWidth="1"/>
    <col min="9761" max="9761" width="9.140625" style="271"/>
    <col min="9762" max="9762" width="10" style="271" bestFit="1" customWidth="1"/>
    <col min="9763" max="9984" width="9.140625" style="271"/>
    <col min="9985" max="9985" width="2.28515625" style="271" customWidth="1"/>
    <col min="9986" max="9986" width="30.28515625" style="271" customWidth="1"/>
    <col min="9987" max="9987" width="4.42578125" style="271" customWidth="1"/>
    <col min="9988" max="9988" width="4.85546875" style="271" customWidth="1"/>
    <col min="9989" max="9989" width="3.28515625" style="271" customWidth="1"/>
    <col min="9990" max="9990" width="6.42578125" style="271" customWidth="1"/>
    <col min="9991" max="9992" width="8.140625" style="271" customWidth="1"/>
    <col min="9993" max="9993" width="7.28515625" style="271" customWidth="1"/>
    <col min="9994" max="9994" width="6.7109375" style="271" customWidth="1"/>
    <col min="9995" max="9995" width="6.85546875" style="271" customWidth="1"/>
    <col min="9996" max="9996" width="7.28515625" style="271" customWidth="1"/>
    <col min="9997" max="9997" width="7.42578125" style="271" customWidth="1"/>
    <col min="9998" max="9998" width="7" style="271" customWidth="1"/>
    <col min="9999" max="9999" width="7.140625" style="271" customWidth="1"/>
    <col min="10000" max="10000" width="7.28515625" style="271" customWidth="1"/>
    <col min="10001" max="10002" width="6.5703125" style="271" customWidth="1"/>
    <col min="10003" max="10003" width="11.7109375" style="271" customWidth="1"/>
    <col min="10004" max="10004" width="9.42578125" style="271" customWidth="1"/>
    <col min="10005" max="10005" width="8.7109375" style="271" customWidth="1"/>
    <col min="10006" max="10013" width="0" style="271" hidden="1" customWidth="1"/>
    <col min="10014" max="10014" width="12.42578125" style="271" customWidth="1"/>
    <col min="10015" max="10015" width="15.28515625" style="271" customWidth="1"/>
    <col min="10016" max="10016" width="11" style="271" bestFit="1" customWidth="1"/>
    <col min="10017" max="10017" width="9.140625" style="271"/>
    <col min="10018" max="10018" width="10" style="271" bestFit="1" customWidth="1"/>
    <col min="10019" max="10240" width="9.140625" style="271"/>
    <col min="10241" max="10241" width="2.28515625" style="271" customWidth="1"/>
    <col min="10242" max="10242" width="30.28515625" style="271" customWidth="1"/>
    <col min="10243" max="10243" width="4.42578125" style="271" customWidth="1"/>
    <col min="10244" max="10244" width="4.85546875" style="271" customWidth="1"/>
    <col min="10245" max="10245" width="3.28515625" style="271" customWidth="1"/>
    <col min="10246" max="10246" width="6.42578125" style="271" customWidth="1"/>
    <col min="10247" max="10248" width="8.140625" style="271" customWidth="1"/>
    <col min="10249" max="10249" width="7.28515625" style="271" customWidth="1"/>
    <col min="10250" max="10250" width="6.7109375" style="271" customWidth="1"/>
    <col min="10251" max="10251" width="6.85546875" style="271" customWidth="1"/>
    <col min="10252" max="10252" width="7.28515625" style="271" customWidth="1"/>
    <col min="10253" max="10253" width="7.42578125" style="271" customWidth="1"/>
    <col min="10254" max="10254" width="7" style="271" customWidth="1"/>
    <col min="10255" max="10255" width="7.140625" style="271" customWidth="1"/>
    <col min="10256" max="10256" width="7.28515625" style="271" customWidth="1"/>
    <col min="10257" max="10258" width="6.5703125" style="271" customWidth="1"/>
    <col min="10259" max="10259" width="11.7109375" style="271" customWidth="1"/>
    <col min="10260" max="10260" width="9.42578125" style="271" customWidth="1"/>
    <col min="10261" max="10261" width="8.7109375" style="271" customWidth="1"/>
    <col min="10262" max="10269" width="0" style="271" hidden="1" customWidth="1"/>
    <col min="10270" max="10270" width="12.42578125" style="271" customWidth="1"/>
    <col min="10271" max="10271" width="15.28515625" style="271" customWidth="1"/>
    <col min="10272" max="10272" width="11" style="271" bestFit="1" customWidth="1"/>
    <col min="10273" max="10273" width="9.140625" style="271"/>
    <col min="10274" max="10274" width="10" style="271" bestFit="1" customWidth="1"/>
    <col min="10275" max="10496" width="9.140625" style="271"/>
    <col min="10497" max="10497" width="2.28515625" style="271" customWidth="1"/>
    <col min="10498" max="10498" width="30.28515625" style="271" customWidth="1"/>
    <col min="10499" max="10499" width="4.42578125" style="271" customWidth="1"/>
    <col min="10500" max="10500" width="4.85546875" style="271" customWidth="1"/>
    <col min="10501" max="10501" width="3.28515625" style="271" customWidth="1"/>
    <col min="10502" max="10502" width="6.42578125" style="271" customWidth="1"/>
    <col min="10503" max="10504" width="8.140625" style="271" customWidth="1"/>
    <col min="10505" max="10505" width="7.28515625" style="271" customWidth="1"/>
    <col min="10506" max="10506" width="6.7109375" style="271" customWidth="1"/>
    <col min="10507" max="10507" width="6.85546875" style="271" customWidth="1"/>
    <col min="10508" max="10508" width="7.28515625" style="271" customWidth="1"/>
    <col min="10509" max="10509" width="7.42578125" style="271" customWidth="1"/>
    <col min="10510" max="10510" width="7" style="271" customWidth="1"/>
    <col min="10511" max="10511" width="7.140625" style="271" customWidth="1"/>
    <col min="10512" max="10512" width="7.28515625" style="271" customWidth="1"/>
    <col min="10513" max="10514" width="6.5703125" style="271" customWidth="1"/>
    <col min="10515" max="10515" width="11.7109375" style="271" customWidth="1"/>
    <col min="10516" max="10516" width="9.42578125" style="271" customWidth="1"/>
    <col min="10517" max="10517" width="8.7109375" style="271" customWidth="1"/>
    <col min="10518" max="10525" width="0" style="271" hidden="1" customWidth="1"/>
    <col min="10526" max="10526" width="12.42578125" style="271" customWidth="1"/>
    <col min="10527" max="10527" width="15.28515625" style="271" customWidth="1"/>
    <col min="10528" max="10528" width="11" style="271" bestFit="1" customWidth="1"/>
    <col min="10529" max="10529" width="9.140625" style="271"/>
    <col min="10530" max="10530" width="10" style="271" bestFit="1" customWidth="1"/>
    <col min="10531" max="10752" width="9.140625" style="271"/>
    <col min="10753" max="10753" width="2.28515625" style="271" customWidth="1"/>
    <col min="10754" max="10754" width="30.28515625" style="271" customWidth="1"/>
    <col min="10755" max="10755" width="4.42578125" style="271" customWidth="1"/>
    <col min="10756" max="10756" width="4.85546875" style="271" customWidth="1"/>
    <col min="10757" max="10757" width="3.28515625" style="271" customWidth="1"/>
    <col min="10758" max="10758" width="6.42578125" style="271" customWidth="1"/>
    <col min="10759" max="10760" width="8.140625" style="271" customWidth="1"/>
    <col min="10761" max="10761" width="7.28515625" style="271" customWidth="1"/>
    <col min="10762" max="10762" width="6.7109375" style="271" customWidth="1"/>
    <col min="10763" max="10763" width="6.85546875" style="271" customWidth="1"/>
    <col min="10764" max="10764" width="7.28515625" style="271" customWidth="1"/>
    <col min="10765" max="10765" width="7.42578125" style="271" customWidth="1"/>
    <col min="10766" max="10766" width="7" style="271" customWidth="1"/>
    <col min="10767" max="10767" width="7.140625" style="271" customWidth="1"/>
    <col min="10768" max="10768" width="7.28515625" style="271" customWidth="1"/>
    <col min="10769" max="10770" width="6.5703125" style="271" customWidth="1"/>
    <col min="10771" max="10771" width="11.7109375" style="271" customWidth="1"/>
    <col min="10772" max="10772" width="9.42578125" style="271" customWidth="1"/>
    <col min="10773" max="10773" width="8.7109375" style="271" customWidth="1"/>
    <col min="10774" max="10781" width="0" style="271" hidden="1" customWidth="1"/>
    <col min="10782" max="10782" width="12.42578125" style="271" customWidth="1"/>
    <col min="10783" max="10783" width="15.28515625" style="271" customWidth="1"/>
    <col min="10784" max="10784" width="11" style="271" bestFit="1" customWidth="1"/>
    <col min="10785" max="10785" width="9.140625" style="271"/>
    <col min="10786" max="10786" width="10" style="271" bestFit="1" customWidth="1"/>
    <col min="10787" max="11008" width="9.140625" style="271"/>
    <col min="11009" max="11009" width="2.28515625" style="271" customWidth="1"/>
    <col min="11010" max="11010" width="30.28515625" style="271" customWidth="1"/>
    <col min="11011" max="11011" width="4.42578125" style="271" customWidth="1"/>
    <col min="11012" max="11012" width="4.85546875" style="271" customWidth="1"/>
    <col min="11013" max="11013" width="3.28515625" style="271" customWidth="1"/>
    <col min="11014" max="11014" width="6.42578125" style="271" customWidth="1"/>
    <col min="11015" max="11016" width="8.140625" style="271" customWidth="1"/>
    <col min="11017" max="11017" width="7.28515625" style="271" customWidth="1"/>
    <col min="11018" max="11018" width="6.7109375" style="271" customWidth="1"/>
    <col min="11019" max="11019" width="6.85546875" style="271" customWidth="1"/>
    <col min="11020" max="11020" width="7.28515625" style="271" customWidth="1"/>
    <col min="11021" max="11021" width="7.42578125" style="271" customWidth="1"/>
    <col min="11022" max="11022" width="7" style="271" customWidth="1"/>
    <col min="11023" max="11023" width="7.140625" style="271" customWidth="1"/>
    <col min="11024" max="11024" width="7.28515625" style="271" customWidth="1"/>
    <col min="11025" max="11026" width="6.5703125" style="271" customWidth="1"/>
    <col min="11027" max="11027" width="11.7109375" style="271" customWidth="1"/>
    <col min="11028" max="11028" width="9.42578125" style="271" customWidth="1"/>
    <col min="11029" max="11029" width="8.7109375" style="271" customWidth="1"/>
    <col min="11030" max="11037" width="0" style="271" hidden="1" customWidth="1"/>
    <col min="11038" max="11038" width="12.42578125" style="271" customWidth="1"/>
    <col min="11039" max="11039" width="15.28515625" style="271" customWidth="1"/>
    <col min="11040" max="11040" width="11" style="271" bestFit="1" customWidth="1"/>
    <col min="11041" max="11041" width="9.140625" style="271"/>
    <col min="11042" max="11042" width="10" style="271" bestFit="1" customWidth="1"/>
    <col min="11043" max="11264" width="9.140625" style="271"/>
    <col min="11265" max="11265" width="2.28515625" style="271" customWidth="1"/>
    <col min="11266" max="11266" width="30.28515625" style="271" customWidth="1"/>
    <col min="11267" max="11267" width="4.42578125" style="271" customWidth="1"/>
    <col min="11268" max="11268" width="4.85546875" style="271" customWidth="1"/>
    <col min="11269" max="11269" width="3.28515625" style="271" customWidth="1"/>
    <col min="11270" max="11270" width="6.42578125" style="271" customWidth="1"/>
    <col min="11271" max="11272" width="8.140625" style="271" customWidth="1"/>
    <col min="11273" max="11273" width="7.28515625" style="271" customWidth="1"/>
    <col min="11274" max="11274" width="6.7109375" style="271" customWidth="1"/>
    <col min="11275" max="11275" width="6.85546875" style="271" customWidth="1"/>
    <col min="11276" max="11276" width="7.28515625" style="271" customWidth="1"/>
    <col min="11277" max="11277" width="7.42578125" style="271" customWidth="1"/>
    <col min="11278" max="11278" width="7" style="271" customWidth="1"/>
    <col min="11279" max="11279" width="7.140625" style="271" customWidth="1"/>
    <col min="11280" max="11280" width="7.28515625" style="271" customWidth="1"/>
    <col min="11281" max="11282" width="6.5703125" style="271" customWidth="1"/>
    <col min="11283" max="11283" width="11.7109375" style="271" customWidth="1"/>
    <col min="11284" max="11284" width="9.42578125" style="271" customWidth="1"/>
    <col min="11285" max="11285" width="8.7109375" style="271" customWidth="1"/>
    <col min="11286" max="11293" width="0" style="271" hidden="1" customWidth="1"/>
    <col min="11294" max="11294" width="12.42578125" style="271" customWidth="1"/>
    <col min="11295" max="11295" width="15.28515625" style="271" customWidth="1"/>
    <col min="11296" max="11296" width="11" style="271" bestFit="1" customWidth="1"/>
    <col min="11297" max="11297" width="9.140625" style="271"/>
    <col min="11298" max="11298" width="10" style="271" bestFit="1" customWidth="1"/>
    <col min="11299" max="11520" width="9.140625" style="271"/>
    <col min="11521" max="11521" width="2.28515625" style="271" customWidth="1"/>
    <col min="11522" max="11522" width="30.28515625" style="271" customWidth="1"/>
    <col min="11523" max="11523" width="4.42578125" style="271" customWidth="1"/>
    <col min="11524" max="11524" width="4.85546875" style="271" customWidth="1"/>
    <col min="11525" max="11525" width="3.28515625" style="271" customWidth="1"/>
    <col min="11526" max="11526" width="6.42578125" style="271" customWidth="1"/>
    <col min="11527" max="11528" width="8.140625" style="271" customWidth="1"/>
    <col min="11529" max="11529" width="7.28515625" style="271" customWidth="1"/>
    <col min="11530" max="11530" width="6.7109375" style="271" customWidth="1"/>
    <col min="11531" max="11531" width="6.85546875" style="271" customWidth="1"/>
    <col min="11532" max="11532" width="7.28515625" style="271" customWidth="1"/>
    <col min="11533" max="11533" width="7.42578125" style="271" customWidth="1"/>
    <col min="11534" max="11534" width="7" style="271" customWidth="1"/>
    <col min="11535" max="11535" width="7.140625" style="271" customWidth="1"/>
    <col min="11536" max="11536" width="7.28515625" style="271" customWidth="1"/>
    <col min="11537" max="11538" width="6.5703125" style="271" customWidth="1"/>
    <col min="11539" max="11539" width="11.7109375" style="271" customWidth="1"/>
    <col min="11540" max="11540" width="9.42578125" style="271" customWidth="1"/>
    <col min="11541" max="11541" width="8.7109375" style="271" customWidth="1"/>
    <col min="11542" max="11549" width="0" style="271" hidden="1" customWidth="1"/>
    <col min="11550" max="11550" width="12.42578125" style="271" customWidth="1"/>
    <col min="11551" max="11551" width="15.28515625" style="271" customWidth="1"/>
    <col min="11552" max="11552" width="11" style="271" bestFit="1" customWidth="1"/>
    <col min="11553" max="11553" width="9.140625" style="271"/>
    <col min="11554" max="11554" width="10" style="271" bestFit="1" customWidth="1"/>
    <col min="11555" max="11776" width="9.140625" style="271"/>
    <col min="11777" max="11777" width="2.28515625" style="271" customWidth="1"/>
    <col min="11778" max="11778" width="30.28515625" style="271" customWidth="1"/>
    <col min="11779" max="11779" width="4.42578125" style="271" customWidth="1"/>
    <col min="11780" max="11780" width="4.85546875" style="271" customWidth="1"/>
    <col min="11781" max="11781" width="3.28515625" style="271" customWidth="1"/>
    <col min="11782" max="11782" width="6.42578125" style="271" customWidth="1"/>
    <col min="11783" max="11784" width="8.140625" style="271" customWidth="1"/>
    <col min="11785" max="11785" width="7.28515625" style="271" customWidth="1"/>
    <col min="11786" max="11786" width="6.7109375" style="271" customWidth="1"/>
    <col min="11787" max="11787" width="6.85546875" style="271" customWidth="1"/>
    <col min="11788" max="11788" width="7.28515625" style="271" customWidth="1"/>
    <col min="11789" max="11789" width="7.42578125" style="271" customWidth="1"/>
    <col min="11790" max="11790" width="7" style="271" customWidth="1"/>
    <col min="11791" max="11791" width="7.140625" style="271" customWidth="1"/>
    <col min="11792" max="11792" width="7.28515625" style="271" customWidth="1"/>
    <col min="11793" max="11794" width="6.5703125" style="271" customWidth="1"/>
    <col min="11795" max="11795" width="11.7109375" style="271" customWidth="1"/>
    <col min="11796" max="11796" width="9.42578125" style="271" customWidth="1"/>
    <col min="11797" max="11797" width="8.7109375" style="271" customWidth="1"/>
    <col min="11798" max="11805" width="0" style="271" hidden="1" customWidth="1"/>
    <col min="11806" max="11806" width="12.42578125" style="271" customWidth="1"/>
    <col min="11807" max="11807" width="15.28515625" style="271" customWidth="1"/>
    <col min="11808" max="11808" width="11" style="271" bestFit="1" customWidth="1"/>
    <col min="11809" max="11809" width="9.140625" style="271"/>
    <col min="11810" max="11810" width="10" style="271" bestFit="1" customWidth="1"/>
    <col min="11811" max="12032" width="9.140625" style="271"/>
    <col min="12033" max="12033" width="2.28515625" style="271" customWidth="1"/>
    <col min="12034" max="12034" width="30.28515625" style="271" customWidth="1"/>
    <col min="12035" max="12035" width="4.42578125" style="271" customWidth="1"/>
    <col min="12036" max="12036" width="4.85546875" style="271" customWidth="1"/>
    <col min="12037" max="12037" width="3.28515625" style="271" customWidth="1"/>
    <col min="12038" max="12038" width="6.42578125" style="271" customWidth="1"/>
    <col min="12039" max="12040" width="8.140625" style="271" customWidth="1"/>
    <col min="12041" max="12041" width="7.28515625" style="271" customWidth="1"/>
    <col min="12042" max="12042" width="6.7109375" style="271" customWidth="1"/>
    <col min="12043" max="12043" width="6.85546875" style="271" customWidth="1"/>
    <col min="12044" max="12044" width="7.28515625" style="271" customWidth="1"/>
    <col min="12045" max="12045" width="7.42578125" style="271" customWidth="1"/>
    <col min="12046" max="12046" width="7" style="271" customWidth="1"/>
    <col min="12047" max="12047" width="7.140625" style="271" customWidth="1"/>
    <col min="12048" max="12048" width="7.28515625" style="271" customWidth="1"/>
    <col min="12049" max="12050" width="6.5703125" style="271" customWidth="1"/>
    <col min="12051" max="12051" width="11.7109375" style="271" customWidth="1"/>
    <col min="12052" max="12052" width="9.42578125" style="271" customWidth="1"/>
    <col min="12053" max="12053" width="8.7109375" style="271" customWidth="1"/>
    <col min="12054" max="12061" width="0" style="271" hidden="1" customWidth="1"/>
    <col min="12062" max="12062" width="12.42578125" style="271" customWidth="1"/>
    <col min="12063" max="12063" width="15.28515625" style="271" customWidth="1"/>
    <col min="12064" max="12064" width="11" style="271" bestFit="1" customWidth="1"/>
    <col min="12065" max="12065" width="9.140625" style="271"/>
    <col min="12066" max="12066" width="10" style="271" bestFit="1" customWidth="1"/>
    <col min="12067" max="12288" width="9.140625" style="271"/>
    <col min="12289" max="12289" width="2.28515625" style="271" customWidth="1"/>
    <col min="12290" max="12290" width="30.28515625" style="271" customWidth="1"/>
    <col min="12291" max="12291" width="4.42578125" style="271" customWidth="1"/>
    <col min="12292" max="12292" width="4.85546875" style="271" customWidth="1"/>
    <col min="12293" max="12293" width="3.28515625" style="271" customWidth="1"/>
    <col min="12294" max="12294" width="6.42578125" style="271" customWidth="1"/>
    <col min="12295" max="12296" width="8.140625" style="271" customWidth="1"/>
    <col min="12297" max="12297" width="7.28515625" style="271" customWidth="1"/>
    <col min="12298" max="12298" width="6.7109375" style="271" customWidth="1"/>
    <col min="12299" max="12299" width="6.85546875" style="271" customWidth="1"/>
    <col min="12300" max="12300" width="7.28515625" style="271" customWidth="1"/>
    <col min="12301" max="12301" width="7.42578125" style="271" customWidth="1"/>
    <col min="12302" max="12302" width="7" style="271" customWidth="1"/>
    <col min="12303" max="12303" width="7.140625" style="271" customWidth="1"/>
    <col min="12304" max="12304" width="7.28515625" style="271" customWidth="1"/>
    <col min="12305" max="12306" width="6.5703125" style="271" customWidth="1"/>
    <col min="12307" max="12307" width="11.7109375" style="271" customWidth="1"/>
    <col min="12308" max="12308" width="9.42578125" style="271" customWidth="1"/>
    <col min="12309" max="12309" width="8.7109375" style="271" customWidth="1"/>
    <col min="12310" max="12317" width="0" style="271" hidden="1" customWidth="1"/>
    <col min="12318" max="12318" width="12.42578125" style="271" customWidth="1"/>
    <col min="12319" max="12319" width="15.28515625" style="271" customWidth="1"/>
    <col min="12320" max="12320" width="11" style="271" bestFit="1" customWidth="1"/>
    <col min="12321" max="12321" width="9.140625" style="271"/>
    <col min="12322" max="12322" width="10" style="271" bestFit="1" customWidth="1"/>
    <col min="12323" max="12544" width="9.140625" style="271"/>
    <col min="12545" max="12545" width="2.28515625" style="271" customWidth="1"/>
    <col min="12546" max="12546" width="30.28515625" style="271" customWidth="1"/>
    <col min="12547" max="12547" width="4.42578125" style="271" customWidth="1"/>
    <col min="12548" max="12548" width="4.85546875" style="271" customWidth="1"/>
    <col min="12549" max="12549" width="3.28515625" style="271" customWidth="1"/>
    <col min="12550" max="12550" width="6.42578125" style="271" customWidth="1"/>
    <col min="12551" max="12552" width="8.140625" style="271" customWidth="1"/>
    <col min="12553" max="12553" width="7.28515625" style="271" customWidth="1"/>
    <col min="12554" max="12554" width="6.7109375" style="271" customWidth="1"/>
    <col min="12555" max="12555" width="6.85546875" style="271" customWidth="1"/>
    <col min="12556" max="12556" width="7.28515625" style="271" customWidth="1"/>
    <col min="12557" max="12557" width="7.42578125" style="271" customWidth="1"/>
    <col min="12558" max="12558" width="7" style="271" customWidth="1"/>
    <col min="12559" max="12559" width="7.140625" style="271" customWidth="1"/>
    <col min="12560" max="12560" width="7.28515625" style="271" customWidth="1"/>
    <col min="12561" max="12562" width="6.5703125" style="271" customWidth="1"/>
    <col min="12563" max="12563" width="11.7109375" style="271" customWidth="1"/>
    <col min="12564" max="12564" width="9.42578125" style="271" customWidth="1"/>
    <col min="12565" max="12565" width="8.7109375" style="271" customWidth="1"/>
    <col min="12566" max="12573" width="0" style="271" hidden="1" customWidth="1"/>
    <col min="12574" max="12574" width="12.42578125" style="271" customWidth="1"/>
    <col min="12575" max="12575" width="15.28515625" style="271" customWidth="1"/>
    <col min="12576" max="12576" width="11" style="271" bestFit="1" customWidth="1"/>
    <col min="12577" max="12577" width="9.140625" style="271"/>
    <col min="12578" max="12578" width="10" style="271" bestFit="1" customWidth="1"/>
    <col min="12579" max="12800" width="9.140625" style="271"/>
    <col min="12801" max="12801" width="2.28515625" style="271" customWidth="1"/>
    <col min="12802" max="12802" width="30.28515625" style="271" customWidth="1"/>
    <col min="12803" max="12803" width="4.42578125" style="271" customWidth="1"/>
    <col min="12804" max="12804" width="4.85546875" style="271" customWidth="1"/>
    <col min="12805" max="12805" width="3.28515625" style="271" customWidth="1"/>
    <col min="12806" max="12806" width="6.42578125" style="271" customWidth="1"/>
    <col min="12807" max="12808" width="8.140625" style="271" customWidth="1"/>
    <col min="12809" max="12809" width="7.28515625" style="271" customWidth="1"/>
    <col min="12810" max="12810" width="6.7109375" style="271" customWidth="1"/>
    <col min="12811" max="12811" width="6.85546875" style="271" customWidth="1"/>
    <col min="12812" max="12812" width="7.28515625" style="271" customWidth="1"/>
    <col min="12813" max="12813" width="7.42578125" style="271" customWidth="1"/>
    <col min="12814" max="12814" width="7" style="271" customWidth="1"/>
    <col min="12815" max="12815" width="7.140625" style="271" customWidth="1"/>
    <col min="12816" max="12816" width="7.28515625" style="271" customWidth="1"/>
    <col min="12817" max="12818" width="6.5703125" style="271" customWidth="1"/>
    <col min="12819" max="12819" width="11.7109375" style="271" customWidth="1"/>
    <col min="12820" max="12820" width="9.42578125" style="271" customWidth="1"/>
    <col min="12821" max="12821" width="8.7109375" style="271" customWidth="1"/>
    <col min="12822" max="12829" width="0" style="271" hidden="1" customWidth="1"/>
    <col min="12830" max="12830" width="12.42578125" style="271" customWidth="1"/>
    <col min="12831" max="12831" width="15.28515625" style="271" customWidth="1"/>
    <col min="12832" max="12832" width="11" style="271" bestFit="1" customWidth="1"/>
    <col min="12833" max="12833" width="9.140625" style="271"/>
    <col min="12834" max="12834" width="10" style="271" bestFit="1" customWidth="1"/>
    <col min="12835" max="13056" width="9.140625" style="271"/>
    <col min="13057" max="13057" width="2.28515625" style="271" customWidth="1"/>
    <col min="13058" max="13058" width="30.28515625" style="271" customWidth="1"/>
    <col min="13059" max="13059" width="4.42578125" style="271" customWidth="1"/>
    <col min="13060" max="13060" width="4.85546875" style="271" customWidth="1"/>
    <col min="13061" max="13061" width="3.28515625" style="271" customWidth="1"/>
    <col min="13062" max="13062" width="6.42578125" style="271" customWidth="1"/>
    <col min="13063" max="13064" width="8.140625" style="271" customWidth="1"/>
    <col min="13065" max="13065" width="7.28515625" style="271" customWidth="1"/>
    <col min="13066" max="13066" width="6.7109375" style="271" customWidth="1"/>
    <col min="13067" max="13067" width="6.85546875" style="271" customWidth="1"/>
    <col min="13068" max="13068" width="7.28515625" style="271" customWidth="1"/>
    <col min="13069" max="13069" width="7.42578125" style="271" customWidth="1"/>
    <col min="13070" max="13070" width="7" style="271" customWidth="1"/>
    <col min="13071" max="13071" width="7.140625" style="271" customWidth="1"/>
    <col min="13072" max="13072" width="7.28515625" style="271" customWidth="1"/>
    <col min="13073" max="13074" width="6.5703125" style="271" customWidth="1"/>
    <col min="13075" max="13075" width="11.7109375" style="271" customWidth="1"/>
    <col min="13076" max="13076" width="9.42578125" style="271" customWidth="1"/>
    <col min="13077" max="13077" width="8.7109375" style="271" customWidth="1"/>
    <col min="13078" max="13085" width="0" style="271" hidden="1" customWidth="1"/>
    <col min="13086" max="13086" width="12.42578125" style="271" customWidth="1"/>
    <col min="13087" max="13087" width="15.28515625" style="271" customWidth="1"/>
    <col min="13088" max="13088" width="11" style="271" bestFit="1" customWidth="1"/>
    <col min="13089" max="13089" width="9.140625" style="271"/>
    <col min="13090" max="13090" width="10" style="271" bestFit="1" customWidth="1"/>
    <col min="13091" max="13312" width="9.140625" style="271"/>
    <col min="13313" max="13313" width="2.28515625" style="271" customWidth="1"/>
    <col min="13314" max="13314" width="30.28515625" style="271" customWidth="1"/>
    <col min="13315" max="13315" width="4.42578125" style="271" customWidth="1"/>
    <col min="13316" max="13316" width="4.85546875" style="271" customWidth="1"/>
    <col min="13317" max="13317" width="3.28515625" style="271" customWidth="1"/>
    <col min="13318" max="13318" width="6.42578125" style="271" customWidth="1"/>
    <col min="13319" max="13320" width="8.140625" style="271" customWidth="1"/>
    <col min="13321" max="13321" width="7.28515625" style="271" customWidth="1"/>
    <col min="13322" max="13322" width="6.7109375" style="271" customWidth="1"/>
    <col min="13323" max="13323" width="6.85546875" style="271" customWidth="1"/>
    <col min="13324" max="13324" width="7.28515625" style="271" customWidth="1"/>
    <col min="13325" max="13325" width="7.42578125" style="271" customWidth="1"/>
    <col min="13326" max="13326" width="7" style="271" customWidth="1"/>
    <col min="13327" max="13327" width="7.140625" style="271" customWidth="1"/>
    <col min="13328" max="13328" width="7.28515625" style="271" customWidth="1"/>
    <col min="13329" max="13330" width="6.5703125" style="271" customWidth="1"/>
    <col min="13331" max="13331" width="11.7109375" style="271" customWidth="1"/>
    <col min="13332" max="13332" width="9.42578125" style="271" customWidth="1"/>
    <col min="13333" max="13333" width="8.7109375" style="271" customWidth="1"/>
    <col min="13334" max="13341" width="0" style="271" hidden="1" customWidth="1"/>
    <col min="13342" max="13342" width="12.42578125" style="271" customWidth="1"/>
    <col min="13343" max="13343" width="15.28515625" style="271" customWidth="1"/>
    <col min="13344" max="13344" width="11" style="271" bestFit="1" customWidth="1"/>
    <col min="13345" max="13345" width="9.140625" style="271"/>
    <col min="13346" max="13346" width="10" style="271" bestFit="1" customWidth="1"/>
    <col min="13347" max="13568" width="9.140625" style="271"/>
    <col min="13569" max="13569" width="2.28515625" style="271" customWidth="1"/>
    <col min="13570" max="13570" width="30.28515625" style="271" customWidth="1"/>
    <col min="13571" max="13571" width="4.42578125" style="271" customWidth="1"/>
    <col min="13572" max="13572" width="4.85546875" style="271" customWidth="1"/>
    <col min="13573" max="13573" width="3.28515625" style="271" customWidth="1"/>
    <col min="13574" max="13574" width="6.42578125" style="271" customWidth="1"/>
    <col min="13575" max="13576" width="8.140625" style="271" customWidth="1"/>
    <col min="13577" max="13577" width="7.28515625" style="271" customWidth="1"/>
    <col min="13578" max="13578" width="6.7109375" style="271" customWidth="1"/>
    <col min="13579" max="13579" width="6.85546875" style="271" customWidth="1"/>
    <col min="13580" max="13580" width="7.28515625" style="271" customWidth="1"/>
    <col min="13581" max="13581" width="7.42578125" style="271" customWidth="1"/>
    <col min="13582" max="13582" width="7" style="271" customWidth="1"/>
    <col min="13583" max="13583" width="7.140625" style="271" customWidth="1"/>
    <col min="13584" max="13584" width="7.28515625" style="271" customWidth="1"/>
    <col min="13585" max="13586" width="6.5703125" style="271" customWidth="1"/>
    <col min="13587" max="13587" width="11.7109375" style="271" customWidth="1"/>
    <col min="13588" max="13588" width="9.42578125" style="271" customWidth="1"/>
    <col min="13589" max="13589" width="8.7109375" style="271" customWidth="1"/>
    <col min="13590" max="13597" width="0" style="271" hidden="1" customWidth="1"/>
    <col min="13598" max="13598" width="12.42578125" style="271" customWidth="1"/>
    <col min="13599" max="13599" width="15.28515625" style="271" customWidth="1"/>
    <col min="13600" max="13600" width="11" style="271" bestFit="1" customWidth="1"/>
    <col min="13601" max="13601" width="9.140625" style="271"/>
    <col min="13602" max="13602" width="10" style="271" bestFit="1" customWidth="1"/>
    <col min="13603" max="13824" width="9.140625" style="271"/>
    <col min="13825" max="13825" width="2.28515625" style="271" customWidth="1"/>
    <col min="13826" max="13826" width="30.28515625" style="271" customWidth="1"/>
    <col min="13827" max="13827" width="4.42578125" style="271" customWidth="1"/>
    <col min="13828" max="13828" width="4.85546875" style="271" customWidth="1"/>
    <col min="13829" max="13829" width="3.28515625" style="271" customWidth="1"/>
    <col min="13830" max="13830" width="6.42578125" style="271" customWidth="1"/>
    <col min="13831" max="13832" width="8.140625" style="271" customWidth="1"/>
    <col min="13833" max="13833" width="7.28515625" style="271" customWidth="1"/>
    <col min="13834" max="13834" width="6.7109375" style="271" customWidth="1"/>
    <col min="13835" max="13835" width="6.85546875" style="271" customWidth="1"/>
    <col min="13836" max="13836" width="7.28515625" style="271" customWidth="1"/>
    <col min="13837" max="13837" width="7.42578125" style="271" customWidth="1"/>
    <col min="13838" max="13838" width="7" style="271" customWidth="1"/>
    <col min="13839" max="13839" width="7.140625" style="271" customWidth="1"/>
    <col min="13840" max="13840" width="7.28515625" style="271" customWidth="1"/>
    <col min="13841" max="13842" width="6.5703125" style="271" customWidth="1"/>
    <col min="13843" max="13843" width="11.7109375" style="271" customWidth="1"/>
    <col min="13844" max="13844" width="9.42578125" style="271" customWidth="1"/>
    <col min="13845" max="13845" width="8.7109375" style="271" customWidth="1"/>
    <col min="13846" max="13853" width="0" style="271" hidden="1" customWidth="1"/>
    <col min="13854" max="13854" width="12.42578125" style="271" customWidth="1"/>
    <col min="13855" max="13855" width="15.28515625" style="271" customWidth="1"/>
    <col min="13856" max="13856" width="11" style="271" bestFit="1" customWidth="1"/>
    <col min="13857" max="13857" width="9.140625" style="271"/>
    <col min="13858" max="13858" width="10" style="271" bestFit="1" customWidth="1"/>
    <col min="13859" max="14080" width="9.140625" style="271"/>
    <col min="14081" max="14081" width="2.28515625" style="271" customWidth="1"/>
    <col min="14082" max="14082" width="30.28515625" style="271" customWidth="1"/>
    <col min="14083" max="14083" width="4.42578125" style="271" customWidth="1"/>
    <col min="14084" max="14084" width="4.85546875" style="271" customWidth="1"/>
    <col min="14085" max="14085" width="3.28515625" style="271" customWidth="1"/>
    <col min="14086" max="14086" width="6.42578125" style="271" customWidth="1"/>
    <col min="14087" max="14088" width="8.140625" style="271" customWidth="1"/>
    <col min="14089" max="14089" width="7.28515625" style="271" customWidth="1"/>
    <col min="14090" max="14090" width="6.7109375" style="271" customWidth="1"/>
    <col min="14091" max="14091" width="6.85546875" style="271" customWidth="1"/>
    <col min="14092" max="14092" width="7.28515625" style="271" customWidth="1"/>
    <col min="14093" max="14093" width="7.42578125" style="271" customWidth="1"/>
    <col min="14094" max="14094" width="7" style="271" customWidth="1"/>
    <col min="14095" max="14095" width="7.140625" style="271" customWidth="1"/>
    <col min="14096" max="14096" width="7.28515625" style="271" customWidth="1"/>
    <col min="14097" max="14098" width="6.5703125" style="271" customWidth="1"/>
    <col min="14099" max="14099" width="11.7109375" style="271" customWidth="1"/>
    <col min="14100" max="14100" width="9.42578125" style="271" customWidth="1"/>
    <col min="14101" max="14101" width="8.7109375" style="271" customWidth="1"/>
    <col min="14102" max="14109" width="0" style="271" hidden="1" customWidth="1"/>
    <col min="14110" max="14110" width="12.42578125" style="271" customWidth="1"/>
    <col min="14111" max="14111" width="15.28515625" style="271" customWidth="1"/>
    <col min="14112" max="14112" width="11" style="271" bestFit="1" customWidth="1"/>
    <col min="14113" max="14113" width="9.140625" style="271"/>
    <col min="14114" max="14114" width="10" style="271" bestFit="1" customWidth="1"/>
    <col min="14115" max="14336" width="9.140625" style="271"/>
    <col min="14337" max="14337" width="2.28515625" style="271" customWidth="1"/>
    <col min="14338" max="14338" width="30.28515625" style="271" customWidth="1"/>
    <col min="14339" max="14339" width="4.42578125" style="271" customWidth="1"/>
    <col min="14340" max="14340" width="4.85546875" style="271" customWidth="1"/>
    <col min="14341" max="14341" width="3.28515625" style="271" customWidth="1"/>
    <col min="14342" max="14342" width="6.42578125" style="271" customWidth="1"/>
    <col min="14343" max="14344" width="8.140625" style="271" customWidth="1"/>
    <col min="14345" max="14345" width="7.28515625" style="271" customWidth="1"/>
    <col min="14346" max="14346" width="6.7109375" style="271" customWidth="1"/>
    <col min="14347" max="14347" width="6.85546875" style="271" customWidth="1"/>
    <col min="14348" max="14348" width="7.28515625" style="271" customWidth="1"/>
    <col min="14349" max="14349" width="7.42578125" style="271" customWidth="1"/>
    <col min="14350" max="14350" width="7" style="271" customWidth="1"/>
    <col min="14351" max="14351" width="7.140625" style="271" customWidth="1"/>
    <col min="14352" max="14352" width="7.28515625" style="271" customWidth="1"/>
    <col min="14353" max="14354" width="6.5703125" style="271" customWidth="1"/>
    <col min="14355" max="14355" width="11.7109375" style="271" customWidth="1"/>
    <col min="14356" max="14356" width="9.42578125" style="271" customWidth="1"/>
    <col min="14357" max="14357" width="8.7109375" style="271" customWidth="1"/>
    <col min="14358" max="14365" width="0" style="271" hidden="1" customWidth="1"/>
    <col min="14366" max="14366" width="12.42578125" style="271" customWidth="1"/>
    <col min="14367" max="14367" width="15.28515625" style="271" customWidth="1"/>
    <col min="14368" max="14368" width="11" style="271" bestFit="1" customWidth="1"/>
    <col min="14369" max="14369" width="9.140625" style="271"/>
    <col min="14370" max="14370" width="10" style="271" bestFit="1" customWidth="1"/>
    <col min="14371" max="14592" width="9.140625" style="271"/>
    <col min="14593" max="14593" width="2.28515625" style="271" customWidth="1"/>
    <col min="14594" max="14594" width="30.28515625" style="271" customWidth="1"/>
    <col min="14595" max="14595" width="4.42578125" style="271" customWidth="1"/>
    <col min="14596" max="14596" width="4.85546875" style="271" customWidth="1"/>
    <col min="14597" max="14597" width="3.28515625" style="271" customWidth="1"/>
    <col min="14598" max="14598" width="6.42578125" style="271" customWidth="1"/>
    <col min="14599" max="14600" width="8.140625" style="271" customWidth="1"/>
    <col min="14601" max="14601" width="7.28515625" style="271" customWidth="1"/>
    <col min="14602" max="14602" width="6.7109375" style="271" customWidth="1"/>
    <col min="14603" max="14603" width="6.85546875" style="271" customWidth="1"/>
    <col min="14604" max="14604" width="7.28515625" style="271" customWidth="1"/>
    <col min="14605" max="14605" width="7.42578125" style="271" customWidth="1"/>
    <col min="14606" max="14606" width="7" style="271" customWidth="1"/>
    <col min="14607" max="14607" width="7.140625" style="271" customWidth="1"/>
    <col min="14608" max="14608" width="7.28515625" style="271" customWidth="1"/>
    <col min="14609" max="14610" width="6.5703125" style="271" customWidth="1"/>
    <col min="14611" max="14611" width="11.7109375" style="271" customWidth="1"/>
    <col min="14612" max="14612" width="9.42578125" style="271" customWidth="1"/>
    <col min="14613" max="14613" width="8.7109375" style="271" customWidth="1"/>
    <col min="14614" max="14621" width="0" style="271" hidden="1" customWidth="1"/>
    <col min="14622" max="14622" width="12.42578125" style="271" customWidth="1"/>
    <col min="14623" max="14623" width="15.28515625" style="271" customWidth="1"/>
    <col min="14624" max="14624" width="11" style="271" bestFit="1" customWidth="1"/>
    <col min="14625" max="14625" width="9.140625" style="271"/>
    <col min="14626" max="14626" width="10" style="271" bestFit="1" customWidth="1"/>
    <col min="14627" max="14848" width="9.140625" style="271"/>
    <col min="14849" max="14849" width="2.28515625" style="271" customWidth="1"/>
    <col min="14850" max="14850" width="30.28515625" style="271" customWidth="1"/>
    <col min="14851" max="14851" width="4.42578125" style="271" customWidth="1"/>
    <col min="14852" max="14852" width="4.85546875" style="271" customWidth="1"/>
    <col min="14853" max="14853" width="3.28515625" style="271" customWidth="1"/>
    <col min="14854" max="14854" width="6.42578125" style="271" customWidth="1"/>
    <col min="14855" max="14856" width="8.140625" style="271" customWidth="1"/>
    <col min="14857" max="14857" width="7.28515625" style="271" customWidth="1"/>
    <col min="14858" max="14858" width="6.7109375" style="271" customWidth="1"/>
    <col min="14859" max="14859" width="6.85546875" style="271" customWidth="1"/>
    <col min="14860" max="14860" width="7.28515625" style="271" customWidth="1"/>
    <col min="14861" max="14861" width="7.42578125" style="271" customWidth="1"/>
    <col min="14862" max="14862" width="7" style="271" customWidth="1"/>
    <col min="14863" max="14863" width="7.140625" style="271" customWidth="1"/>
    <col min="14864" max="14864" width="7.28515625" style="271" customWidth="1"/>
    <col min="14865" max="14866" width="6.5703125" style="271" customWidth="1"/>
    <col min="14867" max="14867" width="11.7109375" style="271" customWidth="1"/>
    <col min="14868" max="14868" width="9.42578125" style="271" customWidth="1"/>
    <col min="14869" max="14869" width="8.7109375" style="271" customWidth="1"/>
    <col min="14870" max="14877" width="0" style="271" hidden="1" customWidth="1"/>
    <col min="14878" max="14878" width="12.42578125" style="271" customWidth="1"/>
    <col min="14879" max="14879" width="15.28515625" style="271" customWidth="1"/>
    <col min="14880" max="14880" width="11" style="271" bestFit="1" customWidth="1"/>
    <col min="14881" max="14881" width="9.140625" style="271"/>
    <col min="14882" max="14882" width="10" style="271" bestFit="1" customWidth="1"/>
    <col min="14883" max="15104" width="9.140625" style="271"/>
    <col min="15105" max="15105" width="2.28515625" style="271" customWidth="1"/>
    <col min="15106" max="15106" width="30.28515625" style="271" customWidth="1"/>
    <col min="15107" max="15107" width="4.42578125" style="271" customWidth="1"/>
    <col min="15108" max="15108" width="4.85546875" style="271" customWidth="1"/>
    <col min="15109" max="15109" width="3.28515625" style="271" customWidth="1"/>
    <col min="15110" max="15110" width="6.42578125" style="271" customWidth="1"/>
    <col min="15111" max="15112" width="8.140625" style="271" customWidth="1"/>
    <col min="15113" max="15113" width="7.28515625" style="271" customWidth="1"/>
    <col min="15114" max="15114" width="6.7109375" style="271" customWidth="1"/>
    <col min="15115" max="15115" width="6.85546875" style="271" customWidth="1"/>
    <col min="15116" max="15116" width="7.28515625" style="271" customWidth="1"/>
    <col min="15117" max="15117" width="7.42578125" style="271" customWidth="1"/>
    <col min="15118" max="15118" width="7" style="271" customWidth="1"/>
    <col min="15119" max="15119" width="7.140625" style="271" customWidth="1"/>
    <col min="15120" max="15120" width="7.28515625" style="271" customWidth="1"/>
    <col min="15121" max="15122" width="6.5703125" style="271" customWidth="1"/>
    <col min="15123" max="15123" width="11.7109375" style="271" customWidth="1"/>
    <col min="15124" max="15124" width="9.42578125" style="271" customWidth="1"/>
    <col min="15125" max="15125" width="8.7109375" style="271" customWidth="1"/>
    <col min="15126" max="15133" width="0" style="271" hidden="1" customWidth="1"/>
    <col min="15134" max="15134" width="12.42578125" style="271" customWidth="1"/>
    <col min="15135" max="15135" width="15.28515625" style="271" customWidth="1"/>
    <col min="15136" max="15136" width="11" style="271" bestFit="1" customWidth="1"/>
    <col min="15137" max="15137" width="9.140625" style="271"/>
    <col min="15138" max="15138" width="10" style="271" bestFit="1" customWidth="1"/>
    <col min="15139" max="15360" width="9.140625" style="271"/>
    <col min="15361" max="15361" width="2.28515625" style="271" customWidth="1"/>
    <col min="15362" max="15362" width="30.28515625" style="271" customWidth="1"/>
    <col min="15363" max="15363" width="4.42578125" style="271" customWidth="1"/>
    <col min="15364" max="15364" width="4.85546875" style="271" customWidth="1"/>
    <col min="15365" max="15365" width="3.28515625" style="271" customWidth="1"/>
    <col min="15366" max="15366" width="6.42578125" style="271" customWidth="1"/>
    <col min="15367" max="15368" width="8.140625" style="271" customWidth="1"/>
    <col min="15369" max="15369" width="7.28515625" style="271" customWidth="1"/>
    <col min="15370" max="15370" width="6.7109375" style="271" customWidth="1"/>
    <col min="15371" max="15371" width="6.85546875" style="271" customWidth="1"/>
    <col min="15372" max="15372" width="7.28515625" style="271" customWidth="1"/>
    <col min="15373" max="15373" width="7.42578125" style="271" customWidth="1"/>
    <col min="15374" max="15374" width="7" style="271" customWidth="1"/>
    <col min="15375" max="15375" width="7.140625" style="271" customWidth="1"/>
    <col min="15376" max="15376" width="7.28515625" style="271" customWidth="1"/>
    <col min="15377" max="15378" width="6.5703125" style="271" customWidth="1"/>
    <col min="15379" max="15379" width="11.7109375" style="271" customWidth="1"/>
    <col min="15380" max="15380" width="9.42578125" style="271" customWidth="1"/>
    <col min="15381" max="15381" width="8.7109375" style="271" customWidth="1"/>
    <col min="15382" max="15389" width="0" style="271" hidden="1" customWidth="1"/>
    <col min="15390" max="15390" width="12.42578125" style="271" customWidth="1"/>
    <col min="15391" max="15391" width="15.28515625" style="271" customWidth="1"/>
    <col min="15392" max="15392" width="11" style="271" bestFit="1" customWidth="1"/>
    <col min="15393" max="15393" width="9.140625" style="271"/>
    <col min="15394" max="15394" width="10" style="271" bestFit="1" customWidth="1"/>
    <col min="15395" max="15616" width="9.140625" style="271"/>
    <col min="15617" max="15617" width="2.28515625" style="271" customWidth="1"/>
    <col min="15618" max="15618" width="30.28515625" style="271" customWidth="1"/>
    <col min="15619" max="15619" width="4.42578125" style="271" customWidth="1"/>
    <col min="15620" max="15620" width="4.85546875" style="271" customWidth="1"/>
    <col min="15621" max="15621" width="3.28515625" style="271" customWidth="1"/>
    <col min="15622" max="15622" width="6.42578125" style="271" customWidth="1"/>
    <col min="15623" max="15624" width="8.140625" style="271" customWidth="1"/>
    <col min="15625" max="15625" width="7.28515625" style="271" customWidth="1"/>
    <col min="15626" max="15626" width="6.7109375" style="271" customWidth="1"/>
    <col min="15627" max="15627" width="6.85546875" style="271" customWidth="1"/>
    <col min="15628" max="15628" width="7.28515625" style="271" customWidth="1"/>
    <col min="15629" max="15629" width="7.42578125" style="271" customWidth="1"/>
    <col min="15630" max="15630" width="7" style="271" customWidth="1"/>
    <col min="15631" max="15631" width="7.140625" style="271" customWidth="1"/>
    <col min="15632" max="15632" width="7.28515625" style="271" customWidth="1"/>
    <col min="15633" max="15634" width="6.5703125" style="271" customWidth="1"/>
    <col min="15635" max="15635" width="11.7109375" style="271" customWidth="1"/>
    <col min="15636" max="15636" width="9.42578125" style="271" customWidth="1"/>
    <col min="15637" max="15637" width="8.7109375" style="271" customWidth="1"/>
    <col min="15638" max="15645" width="0" style="271" hidden="1" customWidth="1"/>
    <col min="15646" max="15646" width="12.42578125" style="271" customWidth="1"/>
    <col min="15647" max="15647" width="15.28515625" style="271" customWidth="1"/>
    <col min="15648" max="15648" width="11" style="271" bestFit="1" customWidth="1"/>
    <col min="15649" max="15649" width="9.140625" style="271"/>
    <col min="15650" max="15650" width="10" style="271" bestFit="1" customWidth="1"/>
    <col min="15651" max="15872" width="9.140625" style="271"/>
    <col min="15873" max="15873" width="2.28515625" style="271" customWidth="1"/>
    <col min="15874" max="15874" width="30.28515625" style="271" customWidth="1"/>
    <col min="15875" max="15875" width="4.42578125" style="271" customWidth="1"/>
    <col min="15876" max="15876" width="4.85546875" style="271" customWidth="1"/>
    <col min="15877" max="15877" width="3.28515625" style="271" customWidth="1"/>
    <col min="15878" max="15878" width="6.42578125" style="271" customWidth="1"/>
    <col min="15879" max="15880" width="8.140625" style="271" customWidth="1"/>
    <col min="15881" max="15881" width="7.28515625" style="271" customWidth="1"/>
    <col min="15882" max="15882" width="6.7109375" style="271" customWidth="1"/>
    <col min="15883" max="15883" width="6.85546875" style="271" customWidth="1"/>
    <col min="15884" max="15884" width="7.28515625" style="271" customWidth="1"/>
    <col min="15885" max="15885" width="7.42578125" style="271" customWidth="1"/>
    <col min="15886" max="15886" width="7" style="271" customWidth="1"/>
    <col min="15887" max="15887" width="7.140625" style="271" customWidth="1"/>
    <col min="15888" max="15888" width="7.28515625" style="271" customWidth="1"/>
    <col min="15889" max="15890" width="6.5703125" style="271" customWidth="1"/>
    <col min="15891" max="15891" width="11.7109375" style="271" customWidth="1"/>
    <col min="15892" max="15892" width="9.42578125" style="271" customWidth="1"/>
    <col min="15893" max="15893" width="8.7109375" style="271" customWidth="1"/>
    <col min="15894" max="15901" width="0" style="271" hidden="1" customWidth="1"/>
    <col min="15902" max="15902" width="12.42578125" style="271" customWidth="1"/>
    <col min="15903" max="15903" width="15.28515625" style="271" customWidth="1"/>
    <col min="15904" max="15904" width="11" style="271" bestFit="1" customWidth="1"/>
    <col min="15905" max="15905" width="9.140625" style="271"/>
    <col min="15906" max="15906" width="10" style="271" bestFit="1" customWidth="1"/>
    <col min="15907" max="16128" width="9.140625" style="271"/>
    <col min="16129" max="16129" width="2.28515625" style="271" customWidth="1"/>
    <col min="16130" max="16130" width="30.28515625" style="271" customWidth="1"/>
    <col min="16131" max="16131" width="4.42578125" style="271" customWidth="1"/>
    <col min="16132" max="16132" width="4.85546875" style="271" customWidth="1"/>
    <col min="16133" max="16133" width="3.28515625" style="271" customWidth="1"/>
    <col min="16134" max="16134" width="6.42578125" style="271" customWidth="1"/>
    <col min="16135" max="16136" width="8.140625" style="271" customWidth="1"/>
    <col min="16137" max="16137" width="7.28515625" style="271" customWidth="1"/>
    <col min="16138" max="16138" width="6.7109375" style="271" customWidth="1"/>
    <col min="16139" max="16139" width="6.85546875" style="271" customWidth="1"/>
    <col min="16140" max="16140" width="7.28515625" style="271" customWidth="1"/>
    <col min="16141" max="16141" width="7.42578125" style="271" customWidth="1"/>
    <col min="16142" max="16142" width="7" style="271" customWidth="1"/>
    <col min="16143" max="16143" width="7.140625" style="271" customWidth="1"/>
    <col min="16144" max="16144" width="7.28515625" style="271" customWidth="1"/>
    <col min="16145" max="16146" width="6.5703125" style="271" customWidth="1"/>
    <col min="16147" max="16147" width="11.7109375" style="271" customWidth="1"/>
    <col min="16148" max="16148" width="9.42578125" style="271" customWidth="1"/>
    <col min="16149" max="16149" width="8.7109375" style="271" customWidth="1"/>
    <col min="16150" max="16157" width="0" style="271" hidden="1" customWidth="1"/>
    <col min="16158" max="16158" width="12.42578125" style="271" customWidth="1"/>
    <col min="16159" max="16159" width="15.28515625" style="271" customWidth="1"/>
    <col min="16160" max="16160" width="11" style="271" bestFit="1" customWidth="1"/>
    <col min="16161" max="16161" width="9.140625" style="271"/>
    <col min="16162" max="16162" width="10" style="271" bestFit="1" customWidth="1"/>
    <col min="16163" max="16384" width="9.140625" style="271"/>
  </cols>
  <sheetData>
    <row r="1" spans="2:32">
      <c r="B1" s="270" t="s">
        <v>0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</row>
    <row r="2" spans="2:32">
      <c r="B2" s="270" t="s">
        <v>1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</row>
    <row r="3" spans="2:32" ht="8.25" customHeight="1">
      <c r="B3" s="706"/>
      <c r="C3" s="706"/>
      <c r="D3" s="706"/>
      <c r="E3" s="706"/>
      <c r="F3" s="706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706"/>
      <c r="T3" s="706"/>
      <c r="U3" s="706"/>
      <c r="V3" s="273"/>
      <c r="W3" s="706"/>
      <c r="X3" s="706"/>
      <c r="Y3" s="706"/>
      <c r="Z3" s="706"/>
      <c r="AA3" s="706"/>
      <c r="AB3" s="706"/>
      <c r="AC3" s="706"/>
    </row>
    <row r="4" spans="2:32" ht="12.75" customHeight="1">
      <c r="B4" s="589" t="s">
        <v>267</v>
      </c>
      <c r="C4" s="589"/>
      <c r="D4" s="1232" t="s">
        <v>297</v>
      </c>
      <c r="E4" s="1232"/>
      <c r="F4" s="1232"/>
      <c r="G4" s="1232"/>
      <c r="H4" s="1232"/>
      <c r="I4" s="1232"/>
      <c r="J4" s="1232"/>
      <c r="K4" s="1232"/>
      <c r="L4" s="1232"/>
      <c r="M4" s="240"/>
      <c r="N4" s="240"/>
      <c r="O4" s="240"/>
      <c r="P4" s="240"/>
      <c r="Q4" s="240"/>
      <c r="R4" s="240"/>
      <c r="U4" s="589"/>
      <c r="V4" s="591"/>
      <c r="W4" s="589"/>
      <c r="X4" s="589"/>
      <c r="Y4" s="589"/>
      <c r="Z4" s="589"/>
      <c r="AA4" s="706"/>
      <c r="AB4" s="706"/>
      <c r="AC4" s="706"/>
    </row>
    <row r="5" spans="2:32" ht="12.75" customHeight="1">
      <c r="B5" s="589" t="s">
        <v>117</v>
      </c>
      <c r="C5" s="589"/>
      <c r="D5" s="1232" t="s">
        <v>269</v>
      </c>
      <c r="E5" s="1232"/>
      <c r="F5" s="1232"/>
      <c r="G5" s="1232"/>
      <c r="H5" s="1232"/>
      <c r="I5" s="1232"/>
      <c r="J5" s="1232"/>
      <c r="K5" s="1232"/>
      <c r="L5" s="1232"/>
      <c r="M5" s="240"/>
      <c r="N5" s="240"/>
      <c r="O5" s="240"/>
      <c r="P5" s="240"/>
      <c r="Q5" s="240"/>
      <c r="R5" s="240"/>
      <c r="U5" s="589"/>
      <c r="V5" s="591"/>
      <c r="W5" s="589"/>
      <c r="X5" s="589"/>
      <c r="Y5" s="589"/>
      <c r="Z5" s="589"/>
      <c r="AA5" s="706"/>
      <c r="AB5" s="706"/>
      <c r="AC5" s="706"/>
    </row>
    <row r="6" spans="2:32" ht="12.75" customHeight="1">
      <c r="B6" s="589" t="s">
        <v>5</v>
      </c>
      <c r="C6" s="589"/>
      <c r="D6" s="1232" t="s">
        <v>298</v>
      </c>
      <c r="E6" s="1232"/>
      <c r="F6" s="1232"/>
      <c r="G6" s="1232"/>
      <c r="H6" s="1232"/>
      <c r="I6" s="1232"/>
      <c r="J6" s="1232"/>
      <c r="K6" s="1232"/>
      <c r="L6" s="1232"/>
      <c r="M6" s="240"/>
      <c r="N6" s="240"/>
      <c r="O6" s="240"/>
      <c r="P6" s="240"/>
      <c r="Q6" s="240"/>
      <c r="R6" s="240"/>
      <c r="U6" s="589"/>
      <c r="V6" s="591"/>
      <c r="W6" s="589"/>
      <c r="X6" s="589"/>
      <c r="Y6" s="589"/>
      <c r="Z6" s="589"/>
      <c r="AA6" s="706"/>
      <c r="AB6" s="706"/>
      <c r="AC6" s="706"/>
    </row>
    <row r="7" spans="2:32" ht="12.75" customHeight="1">
      <c r="B7" s="589" t="s">
        <v>7</v>
      </c>
      <c r="C7" s="589"/>
      <c r="D7" s="1233">
        <f>'[9]RKA Th 2019 yg dipakai (2)'!Q34</f>
        <v>472614000</v>
      </c>
      <c r="E7" s="1233"/>
      <c r="F7" s="1233"/>
      <c r="G7" s="1233"/>
      <c r="H7" s="721"/>
      <c r="I7" s="721"/>
      <c r="J7" s="721"/>
      <c r="K7" s="721"/>
      <c r="L7" s="721"/>
      <c r="M7" s="721"/>
      <c r="N7" s="721"/>
      <c r="O7" s="721"/>
      <c r="P7" s="721"/>
      <c r="Q7" s="721"/>
      <c r="R7" s="721"/>
      <c r="V7" s="591"/>
      <c r="W7" s="606"/>
      <c r="X7" s="606"/>
      <c r="Y7" s="589"/>
      <c r="Z7" s="589"/>
      <c r="AA7" s="706"/>
      <c r="AB7" s="706"/>
      <c r="AC7" s="706"/>
    </row>
    <row r="8" spans="2:32" ht="9.75" customHeight="1" thickBot="1">
      <c r="B8" s="589"/>
      <c r="C8" s="589"/>
      <c r="D8" s="589"/>
      <c r="E8" s="589"/>
      <c r="F8" s="589"/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591"/>
      <c r="R8" s="591"/>
      <c r="S8" s="589"/>
      <c r="T8" s="589"/>
      <c r="U8" s="589"/>
      <c r="V8" s="591"/>
      <c r="W8" s="589"/>
      <c r="X8" s="589"/>
      <c r="Y8" s="589"/>
      <c r="Z8" s="589"/>
      <c r="AA8" s="706"/>
      <c r="AB8" s="706"/>
      <c r="AC8" s="706"/>
    </row>
    <row r="9" spans="2:32" ht="12.75" customHeight="1" thickTop="1">
      <c r="B9" s="1234" t="s">
        <v>8</v>
      </c>
      <c r="C9" s="842"/>
      <c r="D9" s="841" t="s">
        <v>9</v>
      </c>
      <c r="E9" s="842"/>
      <c r="F9" s="843" t="s">
        <v>10</v>
      </c>
      <c r="G9" s="844" t="s">
        <v>11</v>
      </c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6"/>
      <c r="S9" s="843" t="s">
        <v>7</v>
      </c>
      <c r="T9" s="843" t="s">
        <v>12</v>
      </c>
      <c r="U9" s="902" t="s">
        <v>13</v>
      </c>
      <c r="V9" s="903" t="s">
        <v>130</v>
      </c>
      <c r="W9" s="903"/>
      <c r="X9" s="903"/>
      <c r="Y9" s="904"/>
      <c r="Z9" s="905" t="s">
        <v>131</v>
      </c>
      <c r="AA9" s="903"/>
      <c r="AB9" s="904"/>
      <c r="AC9" s="906"/>
    </row>
    <row r="10" spans="2:32" ht="12.75" customHeight="1">
      <c r="B10" s="1235"/>
      <c r="C10" s="851"/>
      <c r="D10" s="850"/>
      <c r="E10" s="851"/>
      <c r="F10" s="852"/>
      <c r="G10" s="853" t="s">
        <v>14</v>
      </c>
      <c r="H10" s="854"/>
      <c r="I10" s="1236"/>
      <c r="J10" s="854" t="s">
        <v>15</v>
      </c>
      <c r="K10" s="854"/>
      <c r="L10" s="854"/>
      <c r="M10" s="1237" t="s">
        <v>16</v>
      </c>
      <c r="N10" s="854"/>
      <c r="O10" s="1236"/>
      <c r="P10" s="1237" t="s">
        <v>17</v>
      </c>
      <c r="Q10" s="854"/>
      <c r="R10" s="1236"/>
      <c r="S10" s="851"/>
      <c r="T10" s="852"/>
      <c r="U10" s="907"/>
      <c r="V10" s="908" t="s">
        <v>132</v>
      </c>
      <c r="W10" s="909"/>
      <c r="X10" s="910" t="s">
        <v>133</v>
      </c>
      <c r="Y10" s="910" t="s">
        <v>134</v>
      </c>
      <c r="Z10" s="910" t="s">
        <v>133</v>
      </c>
      <c r="AA10" s="910" t="s">
        <v>135</v>
      </c>
      <c r="AB10" s="910" t="s">
        <v>136</v>
      </c>
      <c r="AC10" s="911" t="s">
        <v>137</v>
      </c>
    </row>
    <row r="11" spans="2:32" ht="12.75" customHeight="1">
      <c r="B11" s="1235"/>
      <c r="C11" s="851"/>
      <c r="D11" s="850"/>
      <c r="E11" s="851"/>
      <c r="F11" s="852"/>
      <c r="G11" s="858" t="s">
        <v>19</v>
      </c>
      <c r="H11" s="858" t="s">
        <v>20</v>
      </c>
      <c r="I11" s="1238" t="s">
        <v>21</v>
      </c>
      <c r="J11" s="856" t="s">
        <v>22</v>
      </c>
      <c r="K11" s="858" t="s">
        <v>23</v>
      </c>
      <c r="L11" s="1239" t="s">
        <v>24</v>
      </c>
      <c r="M11" s="1240" t="s">
        <v>25</v>
      </c>
      <c r="N11" s="858" t="s">
        <v>26</v>
      </c>
      <c r="O11" s="1238" t="s">
        <v>27</v>
      </c>
      <c r="P11" s="1240" t="s">
        <v>28</v>
      </c>
      <c r="Q11" s="858" t="s">
        <v>29</v>
      </c>
      <c r="R11" s="1238" t="s">
        <v>30</v>
      </c>
      <c r="S11" s="851"/>
      <c r="T11" s="852"/>
      <c r="U11" s="907" t="s">
        <v>272</v>
      </c>
      <c r="V11" s="912" t="s">
        <v>139</v>
      </c>
      <c r="W11" s="913"/>
      <c r="X11" s="910" t="s">
        <v>140</v>
      </c>
      <c r="Y11" s="910" t="s">
        <v>141</v>
      </c>
      <c r="Z11" s="910" t="s">
        <v>142</v>
      </c>
      <c r="AA11" s="910" t="s">
        <v>143</v>
      </c>
      <c r="AB11" s="910" t="s">
        <v>141</v>
      </c>
      <c r="AC11" s="911" t="s">
        <v>144</v>
      </c>
    </row>
    <row r="12" spans="2:32" ht="12.75" customHeight="1">
      <c r="B12" s="1241"/>
      <c r="C12" s="861"/>
      <c r="D12" s="860"/>
      <c r="E12" s="861"/>
      <c r="F12" s="862"/>
      <c r="G12" s="858"/>
      <c r="H12" s="858"/>
      <c r="I12" s="1238"/>
      <c r="J12" s="856"/>
      <c r="K12" s="858"/>
      <c r="L12" s="1239"/>
      <c r="M12" s="1240"/>
      <c r="N12" s="858"/>
      <c r="O12" s="1238"/>
      <c r="P12" s="1240"/>
      <c r="Q12" s="858"/>
      <c r="R12" s="1238"/>
      <c r="S12" s="1242" t="s">
        <v>31</v>
      </c>
      <c r="T12" s="863" t="s">
        <v>31</v>
      </c>
      <c r="U12" s="907" t="s">
        <v>32</v>
      </c>
      <c r="V12" s="611"/>
      <c r="W12" s="914"/>
      <c r="X12" s="910" t="s">
        <v>32</v>
      </c>
      <c r="Y12" s="910" t="s">
        <v>32</v>
      </c>
      <c r="Z12" s="910" t="s">
        <v>31</v>
      </c>
      <c r="AA12" s="910" t="s">
        <v>32</v>
      </c>
      <c r="AB12" s="910" t="s">
        <v>32</v>
      </c>
      <c r="AC12" s="911"/>
      <c r="AE12" s="271">
        <f>SUM(G16:R16)</f>
        <v>1</v>
      </c>
    </row>
    <row r="13" spans="2:32" s="325" customFormat="1" ht="9.75" customHeight="1">
      <c r="B13" s="1243">
        <v>1</v>
      </c>
      <c r="C13" s="748"/>
      <c r="D13" s="747">
        <v>2</v>
      </c>
      <c r="E13" s="748"/>
      <c r="F13" s="749">
        <v>3</v>
      </c>
      <c r="G13" s="750">
        <v>4</v>
      </c>
      <c r="H13" s="749">
        <v>5</v>
      </c>
      <c r="I13" s="1244">
        <v>6</v>
      </c>
      <c r="J13" s="749">
        <v>7</v>
      </c>
      <c r="K13" s="749">
        <v>8</v>
      </c>
      <c r="L13" s="1245">
        <v>9</v>
      </c>
      <c r="M13" s="746">
        <v>10</v>
      </c>
      <c r="N13" s="749">
        <v>11</v>
      </c>
      <c r="O13" s="1244">
        <v>12</v>
      </c>
      <c r="P13" s="746">
        <v>13</v>
      </c>
      <c r="Q13" s="749">
        <v>14</v>
      </c>
      <c r="R13" s="1244">
        <v>15</v>
      </c>
      <c r="S13" s="749">
        <v>16</v>
      </c>
      <c r="T13" s="750">
        <v>17</v>
      </c>
      <c r="U13" s="916">
        <v>18</v>
      </c>
      <c r="V13" s="917">
        <v>7</v>
      </c>
      <c r="W13" s="918"/>
      <c r="X13" s="919">
        <v>8</v>
      </c>
      <c r="Y13" s="919">
        <v>9</v>
      </c>
      <c r="Z13" s="919">
        <v>10</v>
      </c>
      <c r="AA13" s="919">
        <v>11</v>
      </c>
      <c r="AB13" s="919">
        <v>12</v>
      </c>
      <c r="AC13" s="920">
        <v>13</v>
      </c>
    </row>
    <row r="14" spans="2:32" ht="9" customHeight="1">
      <c r="B14" s="1246"/>
      <c r="C14" s="1247"/>
      <c r="D14" s="923"/>
      <c r="E14" s="924"/>
      <c r="F14" s="924"/>
      <c r="G14" s="910"/>
      <c r="H14" s="914"/>
      <c r="I14" s="1248"/>
      <c r="J14" s="914"/>
      <c r="K14" s="914"/>
      <c r="L14" s="611"/>
      <c r="M14" s="1249"/>
      <c r="N14" s="914"/>
      <c r="O14" s="1248"/>
      <c r="P14" s="1249"/>
      <c r="Q14" s="914"/>
      <c r="R14" s="1248"/>
      <c r="S14" s="924"/>
      <c r="T14" s="926"/>
      <c r="U14" s="927"/>
      <c r="V14" s="611"/>
      <c r="W14" s="924"/>
      <c r="X14" s="926"/>
      <c r="Y14" s="926"/>
      <c r="Z14" s="926"/>
      <c r="AA14" s="926"/>
      <c r="AB14" s="926"/>
      <c r="AC14" s="928"/>
    </row>
    <row r="15" spans="2:32" ht="25.5" customHeight="1">
      <c r="B15" s="1250" t="s">
        <v>299</v>
      </c>
      <c r="C15" s="755"/>
      <c r="D15" s="765"/>
      <c r="E15" s="755"/>
      <c r="F15" s="755"/>
      <c r="G15" s="1251"/>
      <c r="H15" s="1252"/>
      <c r="I15" s="1253"/>
      <c r="J15" s="1252"/>
      <c r="K15" s="1252"/>
      <c r="L15" s="1254"/>
      <c r="M15" s="1255"/>
      <c r="N15" s="1252"/>
      <c r="O15" s="1253"/>
      <c r="P15" s="1255"/>
      <c r="Q15" s="1252"/>
      <c r="R15" s="1253"/>
      <c r="S15" s="1256">
        <f>SUM(S16:S53)</f>
        <v>472614000</v>
      </c>
      <c r="T15" s="756"/>
      <c r="U15" s="1257">
        <f>SUM(U16:U53)</f>
        <v>100</v>
      </c>
      <c r="V15" s="929"/>
      <c r="W15" s="930"/>
      <c r="X15" s="931"/>
      <c r="Y15" s="931" t="e">
        <f>Y16+#REF!+#REF!+#REF!+#REF!+#REF!+#REF!+#REF!+#REF!+#REF!</f>
        <v>#REF!</v>
      </c>
      <c r="Z15" s="931" t="e">
        <f>Z16+#REF!+#REF!+#REF!+#REF!+#REF!+#REF!+#REF!+#REF!+#REF!</f>
        <v>#REF!</v>
      </c>
      <c r="AA15" s="931">
        <v>0</v>
      </c>
      <c r="AB15" s="931" t="e">
        <f>AB16+#REF!+#REF!+#REF!+#REF!+#REF!+#REF!+#REF!</f>
        <v>#REF!</v>
      </c>
      <c r="AC15" s="928"/>
      <c r="AF15" s="1258">
        <f>D7-S15</f>
        <v>0</v>
      </c>
    </row>
    <row r="16" spans="2:32" s="1259" customFormat="1" ht="27" customHeight="1">
      <c r="B16" s="1260" t="s">
        <v>300</v>
      </c>
      <c r="C16" s="1261" t="s">
        <v>275</v>
      </c>
      <c r="D16" s="1262">
        <v>1</v>
      </c>
      <c r="E16" s="1263" t="s">
        <v>53</v>
      </c>
      <c r="F16" s="1264" t="s">
        <v>277</v>
      </c>
      <c r="G16" s="1265">
        <f>1/12</f>
        <v>8.3333333333333329E-2</v>
      </c>
      <c r="H16" s="1266">
        <f>1/12</f>
        <v>8.3333333333333329E-2</v>
      </c>
      <c r="I16" s="1267">
        <f t="shared" ref="I16:R16" si="0">1/12</f>
        <v>8.3333333333333329E-2</v>
      </c>
      <c r="J16" s="1268">
        <f t="shared" si="0"/>
        <v>8.3333333333333329E-2</v>
      </c>
      <c r="K16" s="1266">
        <f t="shared" si="0"/>
        <v>8.3333333333333329E-2</v>
      </c>
      <c r="L16" s="1267">
        <f t="shared" si="0"/>
        <v>8.3333333333333329E-2</v>
      </c>
      <c r="M16" s="1268">
        <f t="shared" si="0"/>
        <v>8.3333333333333329E-2</v>
      </c>
      <c r="N16" s="1266">
        <f t="shared" si="0"/>
        <v>8.3333333333333329E-2</v>
      </c>
      <c r="O16" s="1267">
        <f t="shared" si="0"/>
        <v>8.3333333333333329E-2</v>
      </c>
      <c r="P16" s="1268">
        <f t="shared" si="0"/>
        <v>8.3333333333333329E-2</v>
      </c>
      <c r="Q16" s="1266">
        <f t="shared" si="0"/>
        <v>8.3333333333333329E-2</v>
      </c>
      <c r="R16" s="1267">
        <f t="shared" si="0"/>
        <v>8.3333333333333329E-2</v>
      </c>
      <c r="S16" s="1269">
        <v>26144000</v>
      </c>
      <c r="T16" s="1270">
        <v>0</v>
      </c>
      <c r="U16" s="1271">
        <f>S16/$S$15*100</f>
        <v>5.5317870397406761</v>
      </c>
      <c r="V16" s="1272">
        <v>0</v>
      </c>
      <c r="W16" s="1273" t="s">
        <v>148</v>
      </c>
      <c r="X16" s="1274">
        <f>V16/D16*100</f>
        <v>0</v>
      </c>
      <c r="Y16" s="1274">
        <f>X16*U16/100</f>
        <v>0</v>
      </c>
      <c r="Z16" s="1275">
        <f>SUM(Z17:Z18)</f>
        <v>0</v>
      </c>
      <c r="AA16" s="1274">
        <f>Z16/S16*100</f>
        <v>0</v>
      </c>
      <c r="AB16" s="1274">
        <f>AA16*U16/100</f>
        <v>0</v>
      </c>
      <c r="AC16" s="1276"/>
      <c r="AD16" s="1277">
        <f>SUM(G16:R16)</f>
        <v>1</v>
      </c>
      <c r="AE16" s="1278">
        <f>S16+S21+S43+S49+S26+S32+S37</f>
        <v>472614000</v>
      </c>
    </row>
    <row r="17" spans="2:34" s="1259" customFormat="1" ht="12.75" customHeight="1">
      <c r="B17" s="1279" t="s">
        <v>66</v>
      </c>
      <c r="C17" s="1280" t="s">
        <v>278</v>
      </c>
      <c r="D17" s="1281"/>
      <c r="E17" s="1282"/>
      <c r="F17" s="1280"/>
      <c r="G17" s="1283">
        <f>G16/$D$16*100</f>
        <v>8.3333333333333321</v>
      </c>
      <c r="H17" s="1284">
        <f>H16/$D$16*100</f>
        <v>8.3333333333333321</v>
      </c>
      <c r="I17" s="1285">
        <f>I16/$D$16*100</f>
        <v>8.3333333333333321</v>
      </c>
      <c r="J17" s="1284">
        <f>J16/$D$16*100</f>
        <v>8.3333333333333321</v>
      </c>
      <c r="K17" s="1284">
        <f t="shared" ref="K17:R17" si="1">K16/$D$16*100</f>
        <v>8.3333333333333321</v>
      </c>
      <c r="L17" s="1286">
        <f t="shared" si="1"/>
        <v>8.3333333333333321</v>
      </c>
      <c r="M17" s="1287">
        <f>M16/$D$16*100</f>
        <v>8.3333333333333321</v>
      </c>
      <c r="N17" s="1284">
        <f t="shared" si="1"/>
        <v>8.3333333333333321</v>
      </c>
      <c r="O17" s="1285">
        <f t="shared" si="1"/>
        <v>8.3333333333333321</v>
      </c>
      <c r="P17" s="1287">
        <f t="shared" si="1"/>
        <v>8.3333333333333321</v>
      </c>
      <c r="Q17" s="1284">
        <f t="shared" si="1"/>
        <v>8.3333333333333321</v>
      </c>
      <c r="R17" s="1285">
        <f t="shared" si="1"/>
        <v>8.3333333333333321</v>
      </c>
      <c r="S17" s="1288"/>
      <c r="T17" s="1289"/>
      <c r="U17" s="1290"/>
      <c r="V17" s="1291"/>
      <c r="W17" s="1292"/>
      <c r="X17" s="1293"/>
      <c r="Y17" s="1294"/>
      <c r="Z17" s="1295">
        <v>0</v>
      </c>
      <c r="AA17" s="1293" t="e">
        <f>Z17/S17*100</f>
        <v>#DIV/0!</v>
      </c>
      <c r="AB17" s="1293" t="e">
        <f>AA17*U17/100</f>
        <v>#DIV/0!</v>
      </c>
      <c r="AC17" s="1296"/>
      <c r="AD17" s="1297">
        <f>SUM(G17:R17)</f>
        <v>99.999999999999957</v>
      </c>
    </row>
    <row r="18" spans="2:34" s="1259" customFormat="1" ht="12.75" customHeight="1">
      <c r="B18" s="1279" t="s">
        <v>67</v>
      </c>
      <c r="C18" s="1298" t="s">
        <v>279</v>
      </c>
      <c r="D18" s="1281"/>
      <c r="E18" s="1282"/>
      <c r="F18" s="1280"/>
      <c r="G18" s="1283">
        <f>SUM($G$17)</f>
        <v>8.3333333333333321</v>
      </c>
      <c r="H18" s="1284">
        <f>SUM($G$17:H17)</f>
        <v>16.666666666666664</v>
      </c>
      <c r="I18" s="1285">
        <f>SUM($G$17:I17)</f>
        <v>24.999999999999996</v>
      </c>
      <c r="J18" s="1284">
        <f>SUM($G$17:J17)</f>
        <v>33.333333333333329</v>
      </c>
      <c r="K18" s="1284">
        <f>SUM($G$17:K17)</f>
        <v>41.666666666666657</v>
      </c>
      <c r="L18" s="1286">
        <f>SUM($G$17:L17)</f>
        <v>49.999999999999986</v>
      </c>
      <c r="M18" s="1287">
        <f>SUM($G$17:M17)</f>
        <v>58.333333333333314</v>
      </c>
      <c r="N18" s="1284">
        <f>SUM($G$17:N17)</f>
        <v>66.666666666666643</v>
      </c>
      <c r="O18" s="1285">
        <f>SUM($G$17:O17)</f>
        <v>74.999999999999972</v>
      </c>
      <c r="P18" s="1287">
        <f>SUM($G$17:P17)</f>
        <v>83.3333333333333</v>
      </c>
      <c r="Q18" s="1284">
        <f>SUM($G$17:Q17)</f>
        <v>91.666666666666629</v>
      </c>
      <c r="R18" s="1285">
        <f>SUM($G$17:R17)</f>
        <v>99.999999999999957</v>
      </c>
      <c r="S18" s="1299"/>
      <c r="T18" s="1300"/>
      <c r="U18" s="1290"/>
      <c r="V18" s="1291"/>
      <c r="W18" s="1292"/>
      <c r="X18" s="1293"/>
      <c r="Y18" s="1294"/>
      <c r="Z18" s="1295">
        <v>0</v>
      </c>
      <c r="AA18" s="1293" t="e">
        <f>Z18/S18*100</f>
        <v>#DIV/0!</v>
      </c>
      <c r="AB18" s="1293" t="e">
        <f>AA18*U18/100</f>
        <v>#DIV/0!</v>
      </c>
      <c r="AC18" s="1296"/>
      <c r="AD18" s="1297"/>
    </row>
    <row r="19" spans="2:34" s="1259" customFormat="1" ht="12.75" customHeight="1">
      <c r="B19" s="1279" t="s">
        <v>68</v>
      </c>
      <c r="C19" s="1280" t="s">
        <v>280</v>
      </c>
      <c r="D19" s="1281"/>
      <c r="E19" s="1282"/>
      <c r="F19" s="1280"/>
      <c r="G19" s="1283">
        <f>G17*$U$16/100</f>
        <v>0.46098225331172293</v>
      </c>
      <c r="H19" s="1284">
        <f>H17*$U$16/100</f>
        <v>0.46098225331172293</v>
      </c>
      <c r="I19" s="1285">
        <f>I17*$U$16/100</f>
        <v>0.46098225331172293</v>
      </c>
      <c r="J19" s="1284">
        <f>J17*$U$16/100</f>
        <v>0.46098225331172293</v>
      </c>
      <c r="K19" s="1284">
        <f t="shared" ref="K19:R19" si="2">K17*$U$16/100</f>
        <v>0.46098225331172293</v>
      </c>
      <c r="L19" s="1286">
        <f t="shared" si="2"/>
        <v>0.46098225331172293</v>
      </c>
      <c r="M19" s="1287">
        <f t="shared" si="2"/>
        <v>0.46098225331172293</v>
      </c>
      <c r="N19" s="1284">
        <f t="shared" si="2"/>
        <v>0.46098225331172293</v>
      </c>
      <c r="O19" s="1285">
        <f t="shared" si="2"/>
        <v>0.46098225331172293</v>
      </c>
      <c r="P19" s="1287">
        <f t="shared" si="2"/>
        <v>0.46098225331172293</v>
      </c>
      <c r="Q19" s="1284">
        <f t="shared" si="2"/>
        <v>0.46098225331172293</v>
      </c>
      <c r="R19" s="1285">
        <f t="shared" si="2"/>
        <v>0.46098225331172293</v>
      </c>
      <c r="S19" s="1299"/>
      <c r="T19" s="1300"/>
      <c r="U19" s="1290"/>
      <c r="V19" s="1291"/>
      <c r="W19" s="1292"/>
      <c r="X19" s="1293"/>
      <c r="Y19" s="1294"/>
      <c r="Z19" s="1295"/>
      <c r="AA19" s="1293"/>
      <c r="AB19" s="1301"/>
      <c r="AC19" s="1296"/>
      <c r="AD19" s="1297">
        <f>SUM(H19:R19)</f>
        <v>5.0708047864289538</v>
      </c>
    </row>
    <row r="20" spans="2:34" s="1259" customFormat="1" ht="9" customHeight="1">
      <c r="B20" s="1279"/>
      <c r="C20" s="1302"/>
      <c r="D20" s="1281"/>
      <c r="E20" s="1282"/>
      <c r="F20" s="1280"/>
      <c r="G20" s="1303"/>
      <c r="H20" s="1304"/>
      <c r="I20" s="1305"/>
      <c r="J20" s="1304"/>
      <c r="K20" s="1304"/>
      <c r="L20" s="1306"/>
      <c r="M20" s="1307"/>
      <c r="N20" s="1304"/>
      <c r="O20" s="1305"/>
      <c r="P20" s="1307"/>
      <c r="Q20" s="1304"/>
      <c r="R20" s="1305"/>
      <c r="S20" s="1299"/>
      <c r="T20" s="1300"/>
      <c r="U20" s="1290"/>
      <c r="V20" s="1291"/>
      <c r="W20" s="1292"/>
      <c r="X20" s="1293"/>
      <c r="Y20" s="1294"/>
      <c r="Z20" s="1293"/>
      <c r="AA20" s="1293"/>
      <c r="AB20" s="1308"/>
      <c r="AC20" s="1296"/>
      <c r="AD20" s="1297"/>
    </row>
    <row r="21" spans="2:34" s="1259" customFormat="1" ht="24" customHeight="1">
      <c r="B21" s="1260" t="s">
        <v>301</v>
      </c>
      <c r="C21" s="1261" t="s">
        <v>275</v>
      </c>
      <c r="D21" s="1262">
        <v>2</v>
      </c>
      <c r="E21" s="1263" t="s">
        <v>166</v>
      </c>
      <c r="F21" s="1264" t="s">
        <v>277</v>
      </c>
      <c r="G21" s="1265">
        <f>2/12</f>
        <v>0.16666666666666666</v>
      </c>
      <c r="H21" s="1265">
        <f t="shared" ref="H21:R21" si="3">2/12</f>
        <v>0.16666666666666666</v>
      </c>
      <c r="I21" s="1265">
        <f t="shared" si="3"/>
        <v>0.16666666666666666</v>
      </c>
      <c r="J21" s="1265">
        <f t="shared" si="3"/>
        <v>0.16666666666666666</v>
      </c>
      <c r="K21" s="1265">
        <f t="shared" si="3"/>
        <v>0.16666666666666666</v>
      </c>
      <c r="L21" s="1265">
        <f t="shared" si="3"/>
        <v>0.16666666666666666</v>
      </c>
      <c r="M21" s="1265">
        <f t="shared" si="3"/>
        <v>0.16666666666666666</v>
      </c>
      <c r="N21" s="1265">
        <f t="shared" si="3"/>
        <v>0.16666666666666666</v>
      </c>
      <c r="O21" s="1265">
        <f t="shared" si="3"/>
        <v>0.16666666666666666</v>
      </c>
      <c r="P21" s="1265">
        <f t="shared" si="3"/>
        <v>0.16666666666666666</v>
      </c>
      <c r="Q21" s="1265">
        <f t="shared" si="3"/>
        <v>0.16666666666666666</v>
      </c>
      <c r="R21" s="1265">
        <f t="shared" si="3"/>
        <v>0.16666666666666666</v>
      </c>
      <c r="S21" s="1309">
        <v>2320000</v>
      </c>
      <c r="T21" s="1270">
        <v>0</v>
      </c>
      <c r="U21" s="1271">
        <f>S21/$S$15*100</f>
        <v>0.4908868548117491</v>
      </c>
      <c r="V21" s="1272">
        <v>1</v>
      </c>
      <c r="W21" s="1273" t="s">
        <v>148</v>
      </c>
      <c r="X21" s="1274">
        <f>V21/D21*100</f>
        <v>50</v>
      </c>
      <c r="Y21" s="1274">
        <f>X21*U21/100</f>
        <v>0.24544342740587452</v>
      </c>
      <c r="Z21" s="1275" t="e">
        <f>SUM(Z22:Z56)</f>
        <v>#REF!</v>
      </c>
      <c r="AA21" s="1274" t="e">
        <f>Z21/S21*100</f>
        <v>#REF!</v>
      </c>
      <c r="AB21" s="1274" t="e">
        <f>AA21*U21/100</f>
        <v>#REF!</v>
      </c>
      <c r="AC21" s="1310"/>
      <c r="AD21" s="1297">
        <f>SUM(G21:R21)</f>
        <v>2</v>
      </c>
      <c r="AE21" s="1259">
        <f>SUM(G21:R21)</f>
        <v>2</v>
      </c>
      <c r="AF21" s="1311">
        <v>900000</v>
      </c>
    </row>
    <row r="22" spans="2:34" s="1259" customFormat="1" ht="12.75" customHeight="1">
      <c r="B22" s="1279" t="s">
        <v>66</v>
      </c>
      <c r="C22" s="1280" t="s">
        <v>278</v>
      </c>
      <c r="D22" s="1281"/>
      <c r="E22" s="1282"/>
      <c r="F22" s="1280"/>
      <c r="G22" s="1283">
        <f>G21/$D$21*100</f>
        <v>8.3333333333333321</v>
      </c>
      <c r="H22" s="1284">
        <f t="shared" ref="H22:R22" si="4">H21/$D$21*100</f>
        <v>8.3333333333333321</v>
      </c>
      <c r="I22" s="1285">
        <f t="shared" si="4"/>
        <v>8.3333333333333321</v>
      </c>
      <c r="J22" s="1284">
        <f>J21/$D$21*100</f>
        <v>8.3333333333333321</v>
      </c>
      <c r="K22" s="1284">
        <f t="shared" si="4"/>
        <v>8.3333333333333321</v>
      </c>
      <c r="L22" s="1286">
        <f t="shared" si="4"/>
        <v>8.3333333333333321</v>
      </c>
      <c r="M22" s="1287">
        <f>M21/$D$21*100</f>
        <v>8.3333333333333321</v>
      </c>
      <c r="N22" s="1284">
        <f t="shared" si="4"/>
        <v>8.3333333333333321</v>
      </c>
      <c r="O22" s="1285">
        <f t="shared" si="4"/>
        <v>8.3333333333333321</v>
      </c>
      <c r="P22" s="1287">
        <f t="shared" si="4"/>
        <v>8.3333333333333321</v>
      </c>
      <c r="Q22" s="1284">
        <f t="shared" si="4"/>
        <v>8.3333333333333321</v>
      </c>
      <c r="R22" s="1285">
        <f t="shared" si="4"/>
        <v>8.3333333333333321</v>
      </c>
      <c r="S22" s="1288"/>
      <c r="T22" s="1289"/>
      <c r="U22" s="1290"/>
      <c r="V22" s="1291"/>
      <c r="W22" s="1292"/>
      <c r="X22" s="1293"/>
      <c r="Y22" s="1294"/>
      <c r="Z22" s="1295">
        <v>0</v>
      </c>
      <c r="AA22" s="1293" t="e">
        <f>Z22/S22*100</f>
        <v>#DIV/0!</v>
      </c>
      <c r="AB22" s="1293" t="e">
        <f>AA22*U22/100</f>
        <v>#DIV/0!</v>
      </c>
      <c r="AC22" s="1310"/>
      <c r="AD22" s="1297">
        <f>SUM(G22:R22)</f>
        <v>99.999999999999957</v>
      </c>
      <c r="AF22" s="1311">
        <v>150000</v>
      </c>
    </row>
    <row r="23" spans="2:34" s="1259" customFormat="1" ht="12.75" customHeight="1">
      <c r="B23" s="1279" t="s">
        <v>67</v>
      </c>
      <c r="C23" s="1298" t="s">
        <v>279</v>
      </c>
      <c r="D23" s="1281"/>
      <c r="E23" s="1282"/>
      <c r="F23" s="1280"/>
      <c r="G23" s="1283">
        <f>SUM($G$22)</f>
        <v>8.3333333333333321</v>
      </c>
      <c r="H23" s="1284">
        <f>SUM($G$22:H22)</f>
        <v>16.666666666666664</v>
      </c>
      <c r="I23" s="1285">
        <f>SUM($G$22:I22)</f>
        <v>24.999999999999996</v>
      </c>
      <c r="J23" s="1284">
        <f>SUM($G$22:J22)</f>
        <v>33.333333333333329</v>
      </c>
      <c r="K23" s="1284">
        <f>SUM($G$22:K22)</f>
        <v>41.666666666666657</v>
      </c>
      <c r="L23" s="1286">
        <f>SUM($G$22:L22)</f>
        <v>49.999999999999986</v>
      </c>
      <c r="M23" s="1287">
        <f>SUM($G$22:M22)</f>
        <v>58.333333333333314</v>
      </c>
      <c r="N23" s="1284">
        <f>SUM($G$22:N22)</f>
        <v>66.666666666666643</v>
      </c>
      <c r="O23" s="1285">
        <f>SUM($G$22:O22)</f>
        <v>74.999999999999972</v>
      </c>
      <c r="P23" s="1287">
        <f>SUM($G$22:P22)</f>
        <v>83.3333333333333</v>
      </c>
      <c r="Q23" s="1284">
        <f>SUM($G$22:Q22)</f>
        <v>91.666666666666629</v>
      </c>
      <c r="R23" s="1285">
        <f>SUM($G$22:R22)</f>
        <v>99.999999999999957</v>
      </c>
      <c r="S23" s="1299"/>
      <c r="T23" s="1300"/>
      <c r="U23" s="1290"/>
      <c r="V23" s="1291"/>
      <c r="W23" s="1292"/>
      <c r="X23" s="1293"/>
      <c r="Y23" s="1294"/>
      <c r="Z23" s="1295">
        <v>0</v>
      </c>
      <c r="AA23" s="1293" t="e">
        <f>Z23/S23*100</f>
        <v>#DIV/0!</v>
      </c>
      <c r="AB23" s="1293" t="e">
        <f>AA23*U23/100</f>
        <v>#DIV/0!</v>
      </c>
      <c r="AC23" s="1310"/>
      <c r="AD23" s="1297">
        <f>SUM(G23:R23)</f>
        <v>649.99999999999977</v>
      </c>
      <c r="AF23" s="1311">
        <v>690000</v>
      </c>
    </row>
    <row r="24" spans="2:34" s="1259" customFormat="1" ht="12.75" customHeight="1">
      <c r="B24" s="1279" t="s">
        <v>68</v>
      </c>
      <c r="C24" s="1280" t="s">
        <v>280</v>
      </c>
      <c r="D24" s="1281"/>
      <c r="E24" s="1282"/>
      <c r="F24" s="1280"/>
      <c r="G24" s="1283">
        <f>G22*$U$21/100</f>
        <v>4.0907237900979082E-2</v>
      </c>
      <c r="H24" s="1284">
        <f>H22*$U$21/100</f>
        <v>4.0907237900979082E-2</v>
      </c>
      <c r="I24" s="1285">
        <f t="shared" ref="I24:R24" si="5">I22*$U$21/100</f>
        <v>4.0907237900979082E-2</v>
      </c>
      <c r="J24" s="1284">
        <f t="shared" si="5"/>
        <v>4.0907237900979082E-2</v>
      </c>
      <c r="K24" s="1284">
        <f t="shared" si="5"/>
        <v>4.0907237900979082E-2</v>
      </c>
      <c r="L24" s="1286">
        <f t="shared" si="5"/>
        <v>4.0907237900979082E-2</v>
      </c>
      <c r="M24" s="1287">
        <f t="shared" si="5"/>
        <v>4.0907237900979082E-2</v>
      </c>
      <c r="N24" s="1284">
        <f t="shared" si="5"/>
        <v>4.0907237900979082E-2</v>
      </c>
      <c r="O24" s="1285">
        <f t="shared" si="5"/>
        <v>4.0907237900979082E-2</v>
      </c>
      <c r="P24" s="1287">
        <f t="shared" si="5"/>
        <v>4.0907237900979082E-2</v>
      </c>
      <c r="Q24" s="1284">
        <f t="shared" si="5"/>
        <v>4.0907237900979082E-2</v>
      </c>
      <c r="R24" s="1285">
        <f t="shared" si="5"/>
        <v>4.0907237900979082E-2</v>
      </c>
      <c r="S24" s="1299"/>
      <c r="T24" s="1300"/>
      <c r="U24" s="1290"/>
      <c r="V24" s="1291"/>
      <c r="W24" s="1292"/>
      <c r="X24" s="1293"/>
      <c r="Y24" s="1294"/>
      <c r="Z24" s="1295"/>
      <c r="AA24" s="1293"/>
      <c r="AB24" s="1293"/>
      <c r="AC24" s="1310"/>
      <c r="AD24" s="1297"/>
      <c r="AF24" s="1311">
        <v>12704000</v>
      </c>
      <c r="AH24" s="1259">
        <v>43600000</v>
      </c>
    </row>
    <row r="25" spans="2:34" s="1259" customFormat="1" ht="9.75" customHeight="1">
      <c r="B25" s="1279"/>
      <c r="C25" s="1302"/>
      <c r="D25" s="1281"/>
      <c r="E25" s="1282"/>
      <c r="F25" s="1280"/>
      <c r="G25" s="1303"/>
      <c r="H25" s="1304"/>
      <c r="I25" s="1305"/>
      <c r="J25" s="1304"/>
      <c r="K25" s="1304"/>
      <c r="L25" s="1306"/>
      <c r="M25" s="1307"/>
      <c r="N25" s="1304"/>
      <c r="O25" s="1305"/>
      <c r="P25" s="1307"/>
      <c r="Q25" s="1304"/>
      <c r="R25" s="1305"/>
      <c r="S25" s="1299"/>
      <c r="T25" s="1300"/>
      <c r="U25" s="1290"/>
      <c r="V25" s="1291"/>
      <c r="W25" s="1292"/>
      <c r="X25" s="1293"/>
      <c r="Y25" s="1294"/>
      <c r="Z25" s="1293"/>
      <c r="AA25" s="1293"/>
      <c r="AB25" s="1308"/>
      <c r="AC25" s="1310"/>
      <c r="AD25" s="1297"/>
      <c r="AF25" s="1311">
        <v>7100000</v>
      </c>
      <c r="AH25" s="1259">
        <v>21860000</v>
      </c>
    </row>
    <row r="26" spans="2:34" s="1259" customFormat="1" ht="16.5" customHeight="1">
      <c r="B26" s="1260" t="s">
        <v>302</v>
      </c>
      <c r="C26" s="1261" t="s">
        <v>275</v>
      </c>
      <c r="D26" s="1262">
        <v>75</v>
      </c>
      <c r="E26" s="1263" t="s">
        <v>276</v>
      </c>
      <c r="F26" s="1264" t="s">
        <v>277</v>
      </c>
      <c r="G26" s="1312">
        <v>1</v>
      </c>
      <c r="H26" s="1313">
        <v>5</v>
      </c>
      <c r="I26" s="1314">
        <v>5</v>
      </c>
      <c r="J26" s="1313">
        <v>10</v>
      </c>
      <c r="K26" s="1313">
        <v>10</v>
      </c>
      <c r="L26" s="1315">
        <v>10</v>
      </c>
      <c r="M26" s="1316">
        <v>10</v>
      </c>
      <c r="N26" s="1313">
        <v>10</v>
      </c>
      <c r="O26" s="1314">
        <v>5</v>
      </c>
      <c r="P26" s="1316">
        <v>5</v>
      </c>
      <c r="Q26" s="1313">
        <v>3</v>
      </c>
      <c r="R26" s="1314">
        <v>1</v>
      </c>
      <c r="S26" s="1317">
        <v>6578000</v>
      </c>
      <c r="T26" s="1270">
        <v>0</v>
      </c>
      <c r="U26" s="1271">
        <f>S26/$S$15*100</f>
        <v>1.3918335047205541</v>
      </c>
      <c r="V26" s="1272">
        <v>1</v>
      </c>
      <c r="W26" s="1273" t="s">
        <v>148</v>
      </c>
      <c r="X26" s="1274">
        <f>V26/D26*100</f>
        <v>1.3333333333333335</v>
      </c>
      <c r="Y26" s="1274">
        <f>X26*U26/100</f>
        <v>1.8557780062940721E-2</v>
      </c>
      <c r="Z26" s="1275" t="e">
        <f>SUM(Z28:Z61)</f>
        <v>#REF!</v>
      </c>
      <c r="AA26" s="1274" t="e">
        <f>Z26/S26*100</f>
        <v>#REF!</v>
      </c>
      <c r="AB26" s="1274" t="e">
        <f>AA26*U26/100</f>
        <v>#REF!</v>
      </c>
      <c r="AC26" s="1310"/>
      <c r="AD26" s="1297">
        <f>SUM(G26:R26)</f>
        <v>75</v>
      </c>
      <c r="AF26" s="1311">
        <v>4600000</v>
      </c>
      <c r="AH26" s="1259">
        <v>356100000</v>
      </c>
    </row>
    <row r="27" spans="2:34" s="1259" customFormat="1" ht="15.75" customHeight="1">
      <c r="B27" s="1318" t="s">
        <v>303</v>
      </c>
      <c r="C27" s="1319"/>
      <c r="D27" s="1281"/>
      <c r="E27" s="1320"/>
      <c r="F27" s="1319"/>
      <c r="G27" s="1321"/>
      <c r="H27" s="1322"/>
      <c r="I27" s="1323"/>
      <c r="J27" s="1322"/>
      <c r="K27" s="1324"/>
      <c r="L27" s="1325"/>
      <c r="M27" s="1326"/>
      <c r="N27" s="1322"/>
      <c r="O27" s="1323"/>
      <c r="P27" s="1327"/>
      <c r="Q27" s="1328"/>
      <c r="R27" s="1329"/>
      <c r="S27" s="1299"/>
      <c r="T27" s="1300"/>
      <c r="U27" s="1290"/>
      <c r="V27" s="1291"/>
      <c r="W27" s="1292"/>
      <c r="X27" s="1293"/>
      <c r="Y27" s="1293"/>
      <c r="Z27" s="1295"/>
      <c r="AA27" s="1293"/>
      <c r="AB27" s="1293"/>
      <c r="AC27" s="1310"/>
      <c r="AD27" s="1297">
        <f>SUM(G27:R27)</f>
        <v>0</v>
      </c>
      <c r="AF27" s="1311">
        <f>SUM(AF21:AF26)</f>
        <v>26144000</v>
      </c>
      <c r="AH27" s="1259">
        <f>SUM(AH24:AH26)</f>
        <v>421560000</v>
      </c>
    </row>
    <row r="28" spans="2:34" s="1259" customFormat="1" ht="12.75" customHeight="1">
      <c r="B28" s="1279" t="s">
        <v>66</v>
      </c>
      <c r="C28" s="1280" t="s">
        <v>278</v>
      </c>
      <c r="D28" s="1281"/>
      <c r="E28" s="1282"/>
      <c r="F28" s="1280"/>
      <c r="G28" s="1283">
        <f>G26/$D$26*100</f>
        <v>1.3333333333333335</v>
      </c>
      <c r="H28" s="1284">
        <f>H26/$D$26*100</f>
        <v>6.666666666666667</v>
      </c>
      <c r="I28" s="1285">
        <f t="shared" ref="I28:R28" si="6">I26/$D$26*100</f>
        <v>6.666666666666667</v>
      </c>
      <c r="J28" s="1284">
        <f t="shared" si="6"/>
        <v>13.333333333333334</v>
      </c>
      <c r="K28" s="1284">
        <f t="shared" si="6"/>
        <v>13.333333333333334</v>
      </c>
      <c r="L28" s="1286">
        <f t="shared" si="6"/>
        <v>13.333333333333334</v>
      </c>
      <c r="M28" s="1287">
        <f t="shared" si="6"/>
        <v>13.333333333333334</v>
      </c>
      <c r="N28" s="1284">
        <f t="shared" si="6"/>
        <v>13.333333333333334</v>
      </c>
      <c r="O28" s="1285">
        <f t="shared" si="6"/>
        <v>6.666666666666667</v>
      </c>
      <c r="P28" s="1287">
        <f t="shared" si="6"/>
        <v>6.666666666666667</v>
      </c>
      <c r="Q28" s="1284">
        <f t="shared" si="6"/>
        <v>4</v>
      </c>
      <c r="R28" s="1285">
        <f t="shared" si="6"/>
        <v>1.3333333333333335</v>
      </c>
      <c r="S28" s="1288"/>
      <c r="T28" s="1289"/>
      <c r="U28" s="1290"/>
      <c r="V28" s="1291"/>
      <c r="W28" s="1292"/>
      <c r="X28" s="1293"/>
      <c r="Y28" s="1294"/>
      <c r="Z28" s="1295">
        <v>0</v>
      </c>
      <c r="AA28" s="1293" t="e">
        <f>Z28/S28*100</f>
        <v>#DIV/0!</v>
      </c>
      <c r="AB28" s="1293" t="e">
        <f>AA28*U28/100</f>
        <v>#DIV/0!</v>
      </c>
      <c r="AC28" s="1310"/>
      <c r="AD28" s="1297">
        <f>SUM(G28:R28)</f>
        <v>100</v>
      </c>
    </row>
    <row r="29" spans="2:34" s="1259" customFormat="1" ht="12.75" customHeight="1">
      <c r="B29" s="1279" t="s">
        <v>67</v>
      </c>
      <c r="C29" s="1298" t="s">
        <v>279</v>
      </c>
      <c r="D29" s="1281"/>
      <c r="E29" s="1282"/>
      <c r="F29" s="1280"/>
      <c r="G29" s="1283">
        <f>SUM($G$28)</f>
        <v>1.3333333333333335</v>
      </c>
      <c r="H29" s="1284">
        <f>SUM($G$28:H28)</f>
        <v>8</v>
      </c>
      <c r="I29" s="1285">
        <f>SUM($G$28:$I$28)</f>
        <v>14.666666666666668</v>
      </c>
      <c r="J29" s="1284">
        <f>SUM($G$28:J28)</f>
        <v>28</v>
      </c>
      <c r="K29" s="1284">
        <f>SUM($G$28:$K$28)</f>
        <v>41.333333333333336</v>
      </c>
      <c r="L29" s="1286">
        <f>SUM($G$28:L28)</f>
        <v>54.666666666666671</v>
      </c>
      <c r="M29" s="1287">
        <f>SUM($G$28:$M$28)</f>
        <v>68</v>
      </c>
      <c r="N29" s="1284">
        <f>SUM($G$28:N28)</f>
        <v>81.333333333333329</v>
      </c>
      <c r="O29" s="1285">
        <f>SUM($G$28:$O$28)</f>
        <v>88</v>
      </c>
      <c r="P29" s="1287">
        <f>SUM($G$28:P28)</f>
        <v>94.666666666666671</v>
      </c>
      <c r="Q29" s="1284">
        <f>SUM($G$28:$Q$28)</f>
        <v>98.666666666666671</v>
      </c>
      <c r="R29" s="1285">
        <f>SUM($G$28:R28)</f>
        <v>100</v>
      </c>
      <c r="S29" s="1299"/>
      <c r="T29" s="1300"/>
      <c r="U29" s="1290"/>
      <c r="V29" s="1291"/>
      <c r="W29" s="1292"/>
      <c r="X29" s="1293"/>
      <c r="Y29" s="1294"/>
      <c r="Z29" s="1295">
        <v>0</v>
      </c>
      <c r="AA29" s="1293" t="e">
        <f>Z29/S29*100</f>
        <v>#DIV/0!</v>
      </c>
      <c r="AB29" s="1293" t="e">
        <f>AA29*U29/100</f>
        <v>#DIV/0!</v>
      </c>
      <c r="AC29" s="1310"/>
      <c r="AD29" s="1297"/>
    </row>
    <row r="30" spans="2:34" s="1259" customFormat="1" ht="12.75" customHeight="1">
      <c r="B30" s="1279" t="s">
        <v>68</v>
      </c>
      <c r="C30" s="1280" t="s">
        <v>280</v>
      </c>
      <c r="D30" s="1281"/>
      <c r="E30" s="1282"/>
      <c r="F30" s="1280"/>
      <c r="G30" s="1283">
        <f>G28*$U$26/100</f>
        <v>1.8557780062940721E-2</v>
      </c>
      <c r="H30" s="1284">
        <f>H28*$U$26/100</f>
        <v>9.2788900314703604E-2</v>
      </c>
      <c r="I30" s="1285">
        <f t="shared" ref="I30:R30" si="7">I28*$U$26/100</f>
        <v>9.2788900314703604E-2</v>
      </c>
      <c r="J30" s="1284">
        <f t="shared" si="7"/>
        <v>0.18557780062940721</v>
      </c>
      <c r="K30" s="1284">
        <f t="shared" si="7"/>
        <v>0.18557780062940721</v>
      </c>
      <c r="L30" s="1286">
        <f t="shared" si="7"/>
        <v>0.18557780062940721</v>
      </c>
      <c r="M30" s="1287">
        <f t="shared" si="7"/>
        <v>0.18557780062940721</v>
      </c>
      <c r="N30" s="1284">
        <f t="shared" si="7"/>
        <v>0.18557780062940721</v>
      </c>
      <c r="O30" s="1285">
        <f t="shared" si="7"/>
        <v>9.2788900314703604E-2</v>
      </c>
      <c r="P30" s="1287">
        <f t="shared" si="7"/>
        <v>9.2788900314703604E-2</v>
      </c>
      <c r="Q30" s="1284">
        <f t="shared" si="7"/>
        <v>5.5673340188822168E-2</v>
      </c>
      <c r="R30" s="1285">
        <f t="shared" si="7"/>
        <v>1.8557780062940721E-2</v>
      </c>
      <c r="S30" s="1299"/>
      <c r="T30" s="1300"/>
      <c r="U30" s="1290"/>
      <c r="V30" s="1291"/>
      <c r="W30" s="1292"/>
      <c r="X30" s="1293"/>
      <c r="Y30" s="1294"/>
      <c r="Z30" s="1295"/>
      <c r="AA30" s="1293"/>
      <c r="AB30" s="1293"/>
      <c r="AC30" s="1310"/>
      <c r="AD30" s="1297"/>
    </row>
    <row r="31" spans="2:34" s="1259" customFormat="1" ht="9" customHeight="1">
      <c r="B31" s="1279"/>
      <c r="C31" s="1302"/>
      <c r="D31" s="1281"/>
      <c r="E31" s="1282"/>
      <c r="F31" s="1280"/>
      <c r="G31" s="1303"/>
      <c r="H31" s="1304"/>
      <c r="I31" s="1305"/>
      <c r="J31" s="1304"/>
      <c r="K31" s="1304"/>
      <c r="L31" s="1306"/>
      <c r="M31" s="1307"/>
      <c r="N31" s="1304"/>
      <c r="O31" s="1305"/>
      <c r="P31" s="1307"/>
      <c r="Q31" s="1304"/>
      <c r="R31" s="1305"/>
      <c r="S31" s="1299"/>
      <c r="T31" s="1300"/>
      <c r="U31" s="1290"/>
      <c r="V31" s="1291"/>
      <c r="W31" s="1292"/>
      <c r="X31" s="1293"/>
      <c r="Y31" s="1294"/>
      <c r="Z31" s="1293"/>
      <c r="AA31" s="1293"/>
      <c r="AB31" s="1330"/>
      <c r="AC31" s="1310"/>
      <c r="AD31" s="1297"/>
    </row>
    <row r="32" spans="2:34" s="1259" customFormat="1" ht="24.75" customHeight="1">
      <c r="B32" s="1260" t="s">
        <v>304</v>
      </c>
      <c r="C32" s="1261" t="s">
        <v>275</v>
      </c>
      <c r="D32" s="1262">
        <v>25</v>
      </c>
      <c r="E32" s="1263" t="s">
        <v>276</v>
      </c>
      <c r="F32" s="1264" t="s">
        <v>277</v>
      </c>
      <c r="G32" s="1312">
        <v>1</v>
      </c>
      <c r="H32" s="1313">
        <v>2</v>
      </c>
      <c r="I32" s="1314">
        <v>3</v>
      </c>
      <c r="J32" s="1313">
        <v>2</v>
      </c>
      <c r="K32" s="1313">
        <v>3</v>
      </c>
      <c r="L32" s="1315">
        <v>2</v>
      </c>
      <c r="M32" s="1316">
        <v>3</v>
      </c>
      <c r="N32" s="1313">
        <v>2</v>
      </c>
      <c r="O32" s="1314">
        <v>2</v>
      </c>
      <c r="P32" s="1316">
        <v>2</v>
      </c>
      <c r="Q32" s="1313">
        <v>2</v>
      </c>
      <c r="R32" s="1314">
        <v>1</v>
      </c>
      <c r="S32" s="1317">
        <v>7176000</v>
      </c>
      <c r="T32" s="1270">
        <v>0</v>
      </c>
      <c r="U32" s="1271">
        <f>S32/$S$15*100</f>
        <v>1.5183638233315138</v>
      </c>
      <c r="V32" s="1272">
        <v>1</v>
      </c>
      <c r="W32" s="1273" t="s">
        <v>148</v>
      </c>
      <c r="X32" s="1274">
        <f>V32/D32*100</f>
        <v>4</v>
      </c>
      <c r="Y32" s="1274">
        <f>X32*U32/100</f>
        <v>6.0734552933260549E-2</v>
      </c>
      <c r="Z32" s="1275" t="e">
        <f>SUM(Z33:Z66)</f>
        <v>#REF!</v>
      </c>
      <c r="AA32" s="1274" t="e">
        <f>Z32/S32*100</f>
        <v>#REF!</v>
      </c>
      <c r="AB32" s="1274" t="e">
        <f>AA32*U32/100</f>
        <v>#REF!</v>
      </c>
      <c r="AC32" s="1310"/>
      <c r="AD32" s="1297">
        <f>SUM(G32:R32)</f>
        <v>25</v>
      </c>
    </row>
    <row r="33" spans="2:32" s="1259" customFormat="1" ht="12.75" customHeight="1">
      <c r="B33" s="1331" t="s">
        <v>66</v>
      </c>
      <c r="C33" s="1332" t="s">
        <v>278</v>
      </c>
      <c r="D33" s="1333"/>
      <c r="E33" s="1334"/>
      <c r="F33" s="1332"/>
      <c r="G33" s="1335">
        <f>G32/$D$32*100</f>
        <v>4</v>
      </c>
      <c r="H33" s="1336">
        <f>H32/$D$32*100</f>
        <v>8</v>
      </c>
      <c r="I33" s="1337">
        <f>I32/$D$32*100</f>
        <v>12</v>
      </c>
      <c r="J33" s="1336">
        <f t="shared" ref="J33:R33" si="8">J32/$D$32*100</f>
        <v>8</v>
      </c>
      <c r="K33" s="1336">
        <f t="shared" si="8"/>
        <v>12</v>
      </c>
      <c r="L33" s="1338">
        <f t="shared" si="8"/>
        <v>8</v>
      </c>
      <c r="M33" s="1339">
        <f t="shared" si="8"/>
        <v>12</v>
      </c>
      <c r="N33" s="1336">
        <f t="shared" si="8"/>
        <v>8</v>
      </c>
      <c r="O33" s="1337">
        <f t="shared" si="8"/>
        <v>8</v>
      </c>
      <c r="P33" s="1339">
        <f t="shared" si="8"/>
        <v>8</v>
      </c>
      <c r="Q33" s="1336">
        <f t="shared" si="8"/>
        <v>8</v>
      </c>
      <c r="R33" s="1337">
        <f t="shared" si="8"/>
        <v>4</v>
      </c>
      <c r="S33" s="1340"/>
      <c r="T33" s="1341"/>
      <c r="U33" s="1342"/>
      <c r="V33" s="1291"/>
      <c r="W33" s="1292"/>
      <c r="X33" s="1293"/>
      <c r="Y33" s="1294"/>
      <c r="Z33" s="1295">
        <v>0</v>
      </c>
      <c r="AA33" s="1293" t="e">
        <f>Z33/S33*100</f>
        <v>#DIV/0!</v>
      </c>
      <c r="AB33" s="1293" t="e">
        <f>AA33*U33/100</f>
        <v>#DIV/0!</v>
      </c>
      <c r="AC33" s="1310"/>
      <c r="AD33" s="1297"/>
      <c r="AF33" s="1259">
        <f>60+30</f>
        <v>90</v>
      </c>
    </row>
    <row r="34" spans="2:32" s="1259" customFormat="1" ht="12.75" customHeight="1">
      <c r="B34" s="1331" t="s">
        <v>67</v>
      </c>
      <c r="C34" s="1343" t="s">
        <v>279</v>
      </c>
      <c r="D34" s="1333"/>
      <c r="E34" s="1334"/>
      <c r="F34" s="1332"/>
      <c r="G34" s="1335">
        <f>SUM($G$33)</f>
        <v>4</v>
      </c>
      <c r="H34" s="1336">
        <f>SUM($G$33:H33)</f>
        <v>12</v>
      </c>
      <c r="I34" s="1337">
        <f>SUM($G$33:I33)</f>
        <v>24</v>
      </c>
      <c r="J34" s="1336">
        <f>SUM($G$33:J33)</f>
        <v>32</v>
      </c>
      <c r="K34" s="1336">
        <f>SUM($G$33:K33)</f>
        <v>44</v>
      </c>
      <c r="L34" s="1338">
        <f>SUM($G$33:L33)</f>
        <v>52</v>
      </c>
      <c r="M34" s="1339">
        <f>SUM($G$33:M33)</f>
        <v>64</v>
      </c>
      <c r="N34" s="1336">
        <f>SUM($G$33:N33)</f>
        <v>72</v>
      </c>
      <c r="O34" s="1337">
        <f>SUM($G$33:O33)</f>
        <v>80</v>
      </c>
      <c r="P34" s="1339">
        <f>SUM($G$33:P33)</f>
        <v>88</v>
      </c>
      <c r="Q34" s="1336">
        <f>SUM($G$33:Q33)</f>
        <v>96</v>
      </c>
      <c r="R34" s="1337">
        <f>SUM($G$33:R33)</f>
        <v>100</v>
      </c>
      <c r="S34" s="1292"/>
      <c r="T34" s="1295"/>
      <c r="U34" s="1342"/>
      <c r="V34" s="1291"/>
      <c r="W34" s="1292"/>
      <c r="X34" s="1293"/>
      <c r="Y34" s="1294"/>
      <c r="Z34" s="1295">
        <v>0</v>
      </c>
      <c r="AA34" s="1293" t="e">
        <f>Z34/S34*100</f>
        <v>#DIV/0!</v>
      </c>
      <c r="AB34" s="1293" t="e">
        <f>AA34*U34/100</f>
        <v>#DIV/0!</v>
      </c>
      <c r="AC34" s="1310"/>
      <c r="AD34" s="1297"/>
    </row>
    <row r="35" spans="2:32" s="1259" customFormat="1" ht="12.75" customHeight="1">
      <c r="B35" s="1331" t="s">
        <v>68</v>
      </c>
      <c r="C35" s="1332" t="s">
        <v>280</v>
      </c>
      <c r="D35" s="1333"/>
      <c r="E35" s="1334"/>
      <c r="F35" s="1332"/>
      <c r="G35" s="1335">
        <f>G33*$U$32/100</f>
        <v>6.0734552933260549E-2</v>
      </c>
      <c r="H35" s="1336">
        <f t="shared" ref="H35:R35" si="9">H33*$U$32/100</f>
        <v>0.1214691058665211</v>
      </c>
      <c r="I35" s="1337">
        <f t="shared" si="9"/>
        <v>0.18220365879978165</v>
      </c>
      <c r="J35" s="1336">
        <f t="shared" si="9"/>
        <v>0.1214691058665211</v>
      </c>
      <c r="K35" s="1336">
        <f t="shared" si="9"/>
        <v>0.18220365879978165</v>
      </c>
      <c r="L35" s="1338">
        <f t="shared" si="9"/>
        <v>0.1214691058665211</v>
      </c>
      <c r="M35" s="1339">
        <f t="shared" si="9"/>
        <v>0.18220365879978165</v>
      </c>
      <c r="N35" s="1336">
        <f t="shared" si="9"/>
        <v>0.1214691058665211</v>
      </c>
      <c r="O35" s="1337">
        <f t="shared" si="9"/>
        <v>0.1214691058665211</v>
      </c>
      <c r="P35" s="1339">
        <f t="shared" si="9"/>
        <v>0.1214691058665211</v>
      </c>
      <c r="Q35" s="1336">
        <f t="shared" si="9"/>
        <v>0.1214691058665211</v>
      </c>
      <c r="R35" s="1337">
        <f t="shared" si="9"/>
        <v>6.0734552933260549E-2</v>
      </c>
      <c r="S35" s="1292"/>
      <c r="T35" s="1295"/>
      <c r="U35" s="1342"/>
      <c r="V35" s="1291"/>
      <c r="W35" s="1292"/>
      <c r="X35" s="1293"/>
      <c r="Y35" s="1294"/>
      <c r="Z35" s="1295"/>
      <c r="AA35" s="1293"/>
      <c r="AB35" s="1293"/>
      <c r="AC35" s="1310"/>
      <c r="AD35" s="1297"/>
    </row>
    <row r="36" spans="2:32" s="1259" customFormat="1" ht="7.5" customHeight="1">
      <c r="B36" s="1344"/>
      <c r="C36" s="1345"/>
      <c r="D36" s="1333"/>
      <c r="E36" s="1334"/>
      <c r="F36" s="1332"/>
      <c r="G36" s="1346"/>
      <c r="H36" s="1347"/>
      <c r="I36" s="1348"/>
      <c r="J36" s="1347"/>
      <c r="K36" s="1347"/>
      <c r="L36" s="1349"/>
      <c r="M36" s="1350"/>
      <c r="N36" s="1347"/>
      <c r="O36" s="1348"/>
      <c r="P36" s="1350"/>
      <c r="Q36" s="1347"/>
      <c r="R36" s="1348"/>
      <c r="S36" s="1292"/>
      <c r="T36" s="1295"/>
      <c r="U36" s="1342"/>
      <c r="V36" s="1291"/>
      <c r="W36" s="1292"/>
      <c r="X36" s="1293"/>
      <c r="Y36" s="1294"/>
      <c r="Z36" s="1293"/>
      <c r="AA36" s="1293"/>
      <c r="AB36" s="1330"/>
      <c r="AC36" s="1310"/>
      <c r="AD36" s="1297"/>
    </row>
    <row r="37" spans="2:32" s="1259" customFormat="1" ht="16.5" customHeight="1">
      <c r="B37" s="1351" t="s">
        <v>305</v>
      </c>
      <c r="C37" s="1261" t="s">
        <v>275</v>
      </c>
      <c r="D37" s="1352">
        <v>12</v>
      </c>
      <c r="E37" s="1353" t="s">
        <v>276</v>
      </c>
      <c r="F37" s="1354" t="s">
        <v>277</v>
      </c>
      <c r="G37" s="1355">
        <v>0</v>
      </c>
      <c r="H37" s="1356">
        <v>6</v>
      </c>
      <c r="I37" s="1357">
        <v>0</v>
      </c>
      <c r="J37" s="1356">
        <v>0</v>
      </c>
      <c r="K37" s="1356">
        <v>0</v>
      </c>
      <c r="L37" s="1358">
        <v>0</v>
      </c>
      <c r="M37" s="1359">
        <v>3</v>
      </c>
      <c r="N37" s="1356">
        <v>0</v>
      </c>
      <c r="O37" s="1357">
        <v>0</v>
      </c>
      <c r="P37" s="1359">
        <v>0</v>
      </c>
      <c r="Q37" s="1356">
        <v>0</v>
      </c>
      <c r="R37" s="1357">
        <v>3</v>
      </c>
      <c r="S37" s="1360">
        <v>421560000</v>
      </c>
      <c r="T37" s="1275">
        <v>0</v>
      </c>
      <c r="U37" s="1361">
        <f>S37/$S$15*100</f>
        <v>89.19752694587973</v>
      </c>
      <c r="V37" s="1272">
        <v>1</v>
      </c>
      <c r="W37" s="1273" t="s">
        <v>148</v>
      </c>
      <c r="X37" s="1274">
        <f>V37/D37*100</f>
        <v>8.3333333333333321</v>
      </c>
      <c r="Y37" s="1274">
        <f>X37*U37/100</f>
        <v>7.4331272454899757</v>
      </c>
      <c r="Z37" s="1275" t="e">
        <f>SUM(Z39:Z96)</f>
        <v>#REF!</v>
      </c>
      <c r="AA37" s="1274" t="e">
        <f>Z37/S37*100</f>
        <v>#REF!</v>
      </c>
      <c r="AB37" s="1274" t="e">
        <f>AA37*U37/100</f>
        <v>#REF!</v>
      </c>
      <c r="AC37" s="1310"/>
      <c r="AD37" s="1297">
        <f>SUM(G37:R37)</f>
        <v>12</v>
      </c>
    </row>
    <row r="38" spans="2:32" s="1259" customFormat="1" ht="12.75" customHeight="1">
      <c r="B38" s="1362" t="s">
        <v>306</v>
      </c>
      <c r="C38" s="1319"/>
      <c r="D38" s="1333"/>
      <c r="E38" s="1363"/>
      <c r="F38" s="1364"/>
      <c r="G38" s="1365"/>
      <c r="H38" s="1336"/>
      <c r="I38" s="1337"/>
      <c r="J38" s="1366"/>
      <c r="K38" s="1367"/>
      <c r="L38" s="1368"/>
      <c r="M38" s="1369"/>
      <c r="N38" s="1366"/>
      <c r="O38" s="1370"/>
      <c r="P38" s="1371"/>
      <c r="Q38" s="1367"/>
      <c r="R38" s="1372"/>
      <c r="S38" s="1292"/>
      <c r="T38" s="1295"/>
      <c r="U38" s="1342"/>
      <c r="V38" s="1291"/>
      <c r="W38" s="1292"/>
      <c r="X38" s="1293"/>
      <c r="Y38" s="1293"/>
      <c r="Z38" s="1295"/>
      <c r="AA38" s="1293"/>
      <c r="AB38" s="1293"/>
      <c r="AC38" s="1310"/>
      <c r="AD38" s="1297">
        <f>SUM(G38:R38)</f>
        <v>0</v>
      </c>
    </row>
    <row r="39" spans="2:32" s="1259" customFormat="1" ht="12.75" customHeight="1">
      <c r="B39" s="1331" t="s">
        <v>66</v>
      </c>
      <c r="C39" s="1332" t="s">
        <v>278</v>
      </c>
      <c r="D39" s="1333"/>
      <c r="E39" s="1334"/>
      <c r="F39" s="1332"/>
      <c r="G39" s="1335">
        <f>G37/$D$37*100</f>
        <v>0</v>
      </c>
      <c r="H39" s="1336">
        <f>H37/$D$37*100</f>
        <v>50</v>
      </c>
      <c r="I39" s="1337">
        <f t="shared" ref="I39:R39" si="10">I37/$D$37*100</f>
        <v>0</v>
      </c>
      <c r="J39" s="1336">
        <f t="shared" si="10"/>
        <v>0</v>
      </c>
      <c r="K39" s="1336">
        <f t="shared" si="10"/>
        <v>0</v>
      </c>
      <c r="L39" s="1338">
        <f t="shared" si="10"/>
        <v>0</v>
      </c>
      <c r="M39" s="1339">
        <f t="shared" si="10"/>
        <v>25</v>
      </c>
      <c r="N39" s="1336">
        <f t="shared" si="10"/>
        <v>0</v>
      </c>
      <c r="O39" s="1337">
        <f t="shared" si="10"/>
        <v>0</v>
      </c>
      <c r="P39" s="1339">
        <f t="shared" si="10"/>
        <v>0</v>
      </c>
      <c r="Q39" s="1336">
        <f t="shared" si="10"/>
        <v>0</v>
      </c>
      <c r="R39" s="1337">
        <f t="shared" si="10"/>
        <v>25</v>
      </c>
      <c r="S39" s="1340"/>
      <c r="T39" s="1341"/>
      <c r="U39" s="1342"/>
      <c r="V39" s="1291"/>
      <c r="W39" s="1292"/>
      <c r="X39" s="1293"/>
      <c r="Y39" s="1294"/>
      <c r="Z39" s="1295">
        <v>0</v>
      </c>
      <c r="AA39" s="1293" t="e">
        <f>Z39/S39*100</f>
        <v>#DIV/0!</v>
      </c>
      <c r="AB39" s="1293" t="e">
        <f>AA39*U39/100</f>
        <v>#DIV/0!</v>
      </c>
      <c r="AC39" s="1310"/>
      <c r="AD39" s="1297">
        <f>SUM(G39:R39)</f>
        <v>100</v>
      </c>
    </row>
    <row r="40" spans="2:32" s="1259" customFormat="1" ht="12.75" customHeight="1">
      <c r="B40" s="1331" t="s">
        <v>67</v>
      </c>
      <c r="C40" s="1343" t="s">
        <v>279</v>
      </c>
      <c r="D40" s="1333"/>
      <c r="E40" s="1334"/>
      <c r="F40" s="1332"/>
      <c r="G40" s="1335">
        <f>SUM($G$39)</f>
        <v>0</v>
      </c>
      <c r="H40" s="1336">
        <f>SUM($G$39:H39)</f>
        <v>50</v>
      </c>
      <c r="I40" s="1337">
        <f>SUM($G$39:$I$39)</f>
        <v>50</v>
      </c>
      <c r="J40" s="1336">
        <f>SUM($G$39:J39)</f>
        <v>50</v>
      </c>
      <c r="K40" s="1336">
        <f>SUM($G$39:$K$39)</f>
        <v>50</v>
      </c>
      <c r="L40" s="1338">
        <f>SUM($G$39:L39)</f>
        <v>50</v>
      </c>
      <c r="M40" s="1339">
        <f>SUM($G$39:$M$39)</f>
        <v>75</v>
      </c>
      <c r="N40" s="1336">
        <f>SUM($G$39:N39)</f>
        <v>75</v>
      </c>
      <c r="O40" s="1337">
        <f>SUM($G$39:$O$39)</f>
        <v>75</v>
      </c>
      <c r="P40" s="1339">
        <f>SUM($G$39:P39)</f>
        <v>75</v>
      </c>
      <c r="Q40" s="1336">
        <f>SUM($G$39:$Q$39)</f>
        <v>75</v>
      </c>
      <c r="R40" s="1337">
        <f>SUM($G$39:R39)</f>
        <v>100</v>
      </c>
      <c r="S40" s="1292"/>
      <c r="T40" s="1295"/>
      <c r="U40" s="1342"/>
      <c r="V40" s="1291"/>
      <c r="W40" s="1292"/>
      <c r="X40" s="1293"/>
      <c r="Y40" s="1294"/>
      <c r="Z40" s="1295">
        <v>0</v>
      </c>
      <c r="AA40" s="1293" t="e">
        <f>Z40/S40*100</f>
        <v>#DIV/0!</v>
      </c>
      <c r="AB40" s="1293" t="e">
        <f>AA40*U40/100</f>
        <v>#DIV/0!</v>
      </c>
      <c r="AC40" s="1310"/>
      <c r="AD40" s="1297"/>
    </row>
    <row r="41" spans="2:32" s="1259" customFormat="1" ht="12.75" customHeight="1">
      <c r="B41" s="1331" t="s">
        <v>68</v>
      </c>
      <c r="C41" s="1332" t="s">
        <v>280</v>
      </c>
      <c r="D41" s="1333"/>
      <c r="E41" s="1334"/>
      <c r="F41" s="1332"/>
      <c r="G41" s="1335">
        <f>G39*$U$37/100</f>
        <v>0</v>
      </c>
      <c r="H41" s="1336">
        <f t="shared" ref="H41:R41" si="11">H39*$U$37/100</f>
        <v>44.598763472939865</v>
      </c>
      <c r="I41" s="1337">
        <f t="shared" si="11"/>
        <v>0</v>
      </c>
      <c r="J41" s="1336">
        <f t="shared" si="11"/>
        <v>0</v>
      </c>
      <c r="K41" s="1336">
        <f t="shared" si="11"/>
        <v>0</v>
      </c>
      <c r="L41" s="1338">
        <f t="shared" si="11"/>
        <v>0</v>
      </c>
      <c r="M41" s="1339">
        <f t="shared" si="11"/>
        <v>22.299381736469932</v>
      </c>
      <c r="N41" s="1336">
        <f t="shared" si="11"/>
        <v>0</v>
      </c>
      <c r="O41" s="1337">
        <f t="shared" si="11"/>
        <v>0</v>
      </c>
      <c r="P41" s="1339">
        <f t="shared" si="11"/>
        <v>0</v>
      </c>
      <c r="Q41" s="1336">
        <f t="shared" si="11"/>
        <v>0</v>
      </c>
      <c r="R41" s="1337">
        <f t="shared" si="11"/>
        <v>22.299381736469932</v>
      </c>
      <c r="S41" s="1292"/>
      <c r="T41" s="1295"/>
      <c r="U41" s="1342"/>
      <c r="V41" s="1291"/>
      <c r="W41" s="1292"/>
      <c r="X41" s="1293"/>
      <c r="Y41" s="1294"/>
      <c r="Z41" s="1295"/>
      <c r="AA41" s="1293"/>
      <c r="AB41" s="1293"/>
      <c r="AC41" s="1310"/>
      <c r="AD41" s="1297"/>
    </row>
    <row r="42" spans="2:32" s="1259" customFormat="1" ht="12" customHeight="1" thickBot="1">
      <c r="B42" s="1373"/>
      <c r="C42" s="1374"/>
      <c r="D42" s="1375"/>
      <c r="E42" s="1376"/>
      <c r="F42" s="1377"/>
      <c r="G42" s="1378"/>
      <c r="H42" s="1379"/>
      <c r="I42" s="1380"/>
      <c r="J42" s="1379"/>
      <c r="K42" s="1379"/>
      <c r="L42" s="1381"/>
      <c r="M42" s="1382"/>
      <c r="N42" s="1379"/>
      <c r="O42" s="1380"/>
      <c r="P42" s="1382"/>
      <c r="Q42" s="1379"/>
      <c r="R42" s="1380"/>
      <c r="S42" s="1383"/>
      <c r="T42" s="1384"/>
      <c r="U42" s="1385"/>
      <c r="V42" s="1291"/>
      <c r="W42" s="1292"/>
      <c r="X42" s="1293"/>
      <c r="Y42" s="1294"/>
      <c r="Z42" s="1293"/>
      <c r="AA42" s="1293"/>
      <c r="AB42" s="1330"/>
      <c r="AC42" s="1310"/>
      <c r="AD42" s="1297"/>
    </row>
    <row r="43" spans="2:32" s="1259" customFormat="1" ht="12.75" customHeight="1">
      <c r="B43" s="1362" t="s">
        <v>307</v>
      </c>
      <c r="C43" s="1319" t="s">
        <v>275</v>
      </c>
      <c r="D43" s="1386">
        <v>20</v>
      </c>
      <c r="E43" s="1387" t="s">
        <v>276</v>
      </c>
      <c r="F43" s="1388" t="s">
        <v>277</v>
      </c>
      <c r="G43" s="1389">
        <v>1</v>
      </c>
      <c r="H43" s="1356">
        <v>2</v>
      </c>
      <c r="I43" s="1357">
        <v>2</v>
      </c>
      <c r="J43" s="1356">
        <v>2</v>
      </c>
      <c r="K43" s="1356">
        <v>2</v>
      </c>
      <c r="L43" s="1358">
        <v>2</v>
      </c>
      <c r="M43" s="1359">
        <v>2</v>
      </c>
      <c r="N43" s="1356">
        <v>2</v>
      </c>
      <c r="O43" s="1357">
        <v>2</v>
      </c>
      <c r="P43" s="1359">
        <v>2</v>
      </c>
      <c r="Q43" s="1356">
        <v>1</v>
      </c>
      <c r="R43" s="1357"/>
      <c r="S43" s="1390">
        <v>6776000</v>
      </c>
      <c r="T43" s="1391">
        <v>0</v>
      </c>
      <c r="U43" s="1392">
        <f>S43/$S$15*100</f>
        <v>1.4337281587087982</v>
      </c>
      <c r="V43" s="1272">
        <v>1</v>
      </c>
      <c r="W43" s="1273" t="s">
        <v>148</v>
      </c>
      <c r="X43" s="1274">
        <f>V43/D43*100</f>
        <v>5</v>
      </c>
      <c r="Y43" s="1274">
        <f>X43*U43/100</f>
        <v>7.1686407935439914E-2</v>
      </c>
      <c r="Z43" s="1275" t="e">
        <f>SUM(Z45:Z56)</f>
        <v>#REF!</v>
      </c>
      <c r="AA43" s="1274" t="e">
        <f>Z43/S43*100</f>
        <v>#REF!</v>
      </c>
      <c r="AB43" s="1274" t="e">
        <f>AA43*U43/100</f>
        <v>#REF!</v>
      </c>
      <c r="AC43" s="1310"/>
      <c r="AD43" s="1297">
        <f>SUM(G43:R43)</f>
        <v>20</v>
      </c>
    </row>
    <row r="44" spans="2:32" s="1259" customFormat="1" ht="12.75" customHeight="1">
      <c r="B44" s="1362" t="s">
        <v>308</v>
      </c>
      <c r="C44" s="1319"/>
      <c r="D44" s="1333"/>
      <c r="E44" s="1363"/>
      <c r="F44" s="1364"/>
      <c r="G44" s="1365"/>
      <c r="H44" s="1367"/>
      <c r="I44" s="1370"/>
      <c r="J44" s="1367"/>
      <c r="K44" s="1367"/>
      <c r="L44" s="1393"/>
      <c r="M44" s="1369"/>
      <c r="N44" s="1367"/>
      <c r="O44" s="1370"/>
      <c r="P44" s="1369"/>
      <c r="Q44" s="1367"/>
      <c r="R44" s="1370"/>
      <c r="S44" s="1292"/>
      <c r="T44" s="1295"/>
      <c r="U44" s="1342"/>
      <c r="V44" s="1291"/>
      <c r="W44" s="1292"/>
      <c r="X44" s="1293"/>
      <c r="Y44" s="1293"/>
      <c r="Z44" s="1295"/>
      <c r="AA44" s="1293"/>
      <c r="AB44" s="1293"/>
      <c r="AC44" s="1310"/>
      <c r="AD44" s="1297"/>
    </row>
    <row r="45" spans="2:32" s="1259" customFormat="1" ht="12.75" customHeight="1">
      <c r="B45" s="1331" t="s">
        <v>66</v>
      </c>
      <c r="C45" s="1332" t="s">
        <v>278</v>
      </c>
      <c r="D45" s="1333"/>
      <c r="E45" s="1334"/>
      <c r="F45" s="1332"/>
      <c r="G45" s="1335">
        <f>G43/$D$43*100</f>
        <v>5</v>
      </c>
      <c r="H45" s="1336">
        <f>H43/$D$43*100</f>
        <v>10</v>
      </c>
      <c r="I45" s="1337">
        <f t="shared" ref="I45:R45" si="12">I43/$D$43*100</f>
        <v>10</v>
      </c>
      <c r="J45" s="1336">
        <f>J43/$D$43*100</f>
        <v>10</v>
      </c>
      <c r="K45" s="1336">
        <f t="shared" si="12"/>
        <v>10</v>
      </c>
      <c r="L45" s="1338">
        <f>L43/$D$43*100</f>
        <v>10</v>
      </c>
      <c r="M45" s="1339">
        <f t="shared" si="12"/>
        <v>10</v>
      </c>
      <c r="N45" s="1336">
        <f t="shared" si="12"/>
        <v>10</v>
      </c>
      <c r="O45" s="1337">
        <f t="shared" si="12"/>
        <v>10</v>
      </c>
      <c r="P45" s="1339">
        <f t="shared" si="12"/>
        <v>10</v>
      </c>
      <c r="Q45" s="1336">
        <f t="shared" si="12"/>
        <v>5</v>
      </c>
      <c r="R45" s="1337">
        <f t="shared" si="12"/>
        <v>0</v>
      </c>
      <c r="S45" s="1340"/>
      <c r="T45" s="1341"/>
      <c r="U45" s="1342"/>
      <c r="V45" s="1291"/>
      <c r="W45" s="1292"/>
      <c r="X45" s="1293"/>
      <c r="Y45" s="1294"/>
      <c r="Z45" s="1295">
        <v>0</v>
      </c>
      <c r="AA45" s="1293" t="e">
        <f>Z45/S45*100</f>
        <v>#DIV/0!</v>
      </c>
      <c r="AB45" s="1293" t="e">
        <f>AA45*U45/100</f>
        <v>#DIV/0!</v>
      </c>
      <c r="AC45" s="1310"/>
      <c r="AD45" s="1297"/>
    </row>
    <row r="46" spans="2:32" s="1259" customFormat="1" ht="12.75" customHeight="1">
      <c r="B46" s="1331" t="s">
        <v>67</v>
      </c>
      <c r="C46" s="1343" t="s">
        <v>279</v>
      </c>
      <c r="D46" s="1333"/>
      <c r="E46" s="1334"/>
      <c r="F46" s="1332"/>
      <c r="G46" s="1335">
        <f>SUM($G$45)</f>
        <v>5</v>
      </c>
      <c r="H46" s="1336">
        <f>SUM($G$45:H45)</f>
        <v>15</v>
      </c>
      <c r="I46" s="1337">
        <f>SUM($G$45:I45)</f>
        <v>25</v>
      </c>
      <c r="J46" s="1336">
        <f>SUM($G$45:J45)</f>
        <v>35</v>
      </c>
      <c r="K46" s="1336">
        <f>SUM($G$45:K45)</f>
        <v>45</v>
      </c>
      <c r="L46" s="1338">
        <f>SUM($G$45:L45)</f>
        <v>55</v>
      </c>
      <c r="M46" s="1339">
        <f>SUM($G$45:M45)</f>
        <v>65</v>
      </c>
      <c r="N46" s="1336">
        <f>SUM($G$45:N45)</f>
        <v>75</v>
      </c>
      <c r="O46" s="1337">
        <f>SUM($G$45:O45)</f>
        <v>85</v>
      </c>
      <c r="P46" s="1339">
        <f>SUM($G$45:P45)</f>
        <v>95</v>
      </c>
      <c r="Q46" s="1336">
        <f>SUM($G$45:Q45)</f>
        <v>100</v>
      </c>
      <c r="R46" s="1337">
        <f>SUM($G$45:R45)</f>
        <v>100</v>
      </c>
      <c r="S46" s="1292"/>
      <c r="T46" s="1295"/>
      <c r="U46" s="1342"/>
      <c r="V46" s="1291"/>
      <c r="W46" s="1292"/>
      <c r="X46" s="1293"/>
      <c r="Y46" s="1294"/>
      <c r="Z46" s="1295">
        <v>0</v>
      </c>
      <c r="AA46" s="1293" t="e">
        <f>Z46/S46*100</f>
        <v>#DIV/0!</v>
      </c>
      <c r="AB46" s="1293" t="e">
        <f>AA46*U46/100</f>
        <v>#DIV/0!</v>
      </c>
      <c r="AC46" s="1310"/>
      <c r="AD46" s="1297"/>
    </row>
    <row r="47" spans="2:32" s="1259" customFormat="1" ht="12.75" customHeight="1">
      <c r="B47" s="1331" t="s">
        <v>68</v>
      </c>
      <c r="C47" s="1332" t="s">
        <v>280</v>
      </c>
      <c r="D47" s="1333"/>
      <c r="E47" s="1334"/>
      <c r="F47" s="1332"/>
      <c r="G47" s="1335">
        <f>G45*$U$43/100</f>
        <v>7.1686407935439914E-2</v>
      </c>
      <c r="H47" s="1336">
        <f t="shared" ref="H47:R47" si="13">H45*$U$43/100</f>
        <v>0.14337281587087983</v>
      </c>
      <c r="I47" s="1337">
        <f t="shared" si="13"/>
        <v>0.14337281587087983</v>
      </c>
      <c r="J47" s="1336">
        <f t="shared" si="13"/>
        <v>0.14337281587087983</v>
      </c>
      <c r="K47" s="1336">
        <f t="shared" si="13"/>
        <v>0.14337281587087983</v>
      </c>
      <c r="L47" s="1338">
        <f t="shared" si="13"/>
        <v>0.14337281587087983</v>
      </c>
      <c r="M47" s="1339">
        <f t="shared" si="13"/>
        <v>0.14337281587087983</v>
      </c>
      <c r="N47" s="1336">
        <f t="shared" si="13"/>
        <v>0.14337281587087983</v>
      </c>
      <c r="O47" s="1337">
        <f t="shared" si="13"/>
        <v>0.14337281587087983</v>
      </c>
      <c r="P47" s="1339">
        <f t="shared" si="13"/>
        <v>0.14337281587087983</v>
      </c>
      <c r="Q47" s="1336">
        <f t="shared" si="13"/>
        <v>7.1686407935439914E-2</v>
      </c>
      <c r="R47" s="1337">
        <f t="shared" si="13"/>
        <v>0</v>
      </c>
      <c r="S47" s="1292"/>
      <c r="T47" s="1295"/>
      <c r="U47" s="1342"/>
      <c r="V47" s="1291"/>
      <c r="W47" s="1292"/>
      <c r="X47" s="1293"/>
      <c r="Y47" s="1294"/>
      <c r="Z47" s="1295"/>
      <c r="AA47" s="1293"/>
      <c r="AB47" s="1293"/>
      <c r="AC47" s="1310"/>
      <c r="AD47" s="1297"/>
    </row>
    <row r="48" spans="2:32" s="1259" customFormat="1" ht="7.5" customHeight="1">
      <c r="B48" s="1344"/>
      <c r="C48" s="1345"/>
      <c r="D48" s="1333"/>
      <c r="E48" s="1334"/>
      <c r="F48" s="1332"/>
      <c r="G48" s="1346"/>
      <c r="H48" s="1347"/>
      <c r="I48" s="1348"/>
      <c r="J48" s="1347"/>
      <c r="K48" s="1347"/>
      <c r="L48" s="1349"/>
      <c r="M48" s="1350"/>
      <c r="N48" s="1347"/>
      <c r="O48" s="1348"/>
      <c r="P48" s="1350"/>
      <c r="Q48" s="1347"/>
      <c r="R48" s="1348"/>
      <c r="S48" s="1292"/>
      <c r="T48" s="1295"/>
      <c r="U48" s="1342"/>
      <c r="V48" s="1291"/>
      <c r="W48" s="1292"/>
      <c r="X48" s="1293"/>
      <c r="Y48" s="1294"/>
      <c r="Z48" s="1293"/>
      <c r="AA48" s="1293"/>
      <c r="AB48" s="1308"/>
      <c r="AC48" s="1310"/>
      <c r="AD48" s="1297">
        <f t="shared" ref="AD48:AD53" si="14">SUM(G48:R48)</f>
        <v>0</v>
      </c>
    </row>
    <row r="49" spans="2:31" s="1259" customFormat="1" ht="12.75" customHeight="1">
      <c r="B49" s="1351" t="s">
        <v>309</v>
      </c>
      <c r="C49" s="1261" t="s">
        <v>275</v>
      </c>
      <c r="D49" s="1352">
        <v>5</v>
      </c>
      <c r="E49" s="1353" t="s">
        <v>276</v>
      </c>
      <c r="F49" s="1354" t="s">
        <v>277</v>
      </c>
      <c r="G49" s="1389">
        <v>0</v>
      </c>
      <c r="H49" s="1394">
        <v>1</v>
      </c>
      <c r="I49" s="1395">
        <v>1</v>
      </c>
      <c r="J49" s="1394">
        <v>0</v>
      </c>
      <c r="K49" s="1394">
        <v>1</v>
      </c>
      <c r="L49" s="1396">
        <v>0</v>
      </c>
      <c r="M49" s="1397">
        <v>1</v>
      </c>
      <c r="N49" s="1394">
        <v>0</v>
      </c>
      <c r="O49" s="1395">
        <v>1</v>
      </c>
      <c r="P49" s="1397">
        <v>0</v>
      </c>
      <c r="Q49" s="1394">
        <v>0</v>
      </c>
      <c r="R49" s="1395">
        <v>0</v>
      </c>
      <c r="S49" s="1360">
        <v>2060000</v>
      </c>
      <c r="T49" s="1275">
        <v>0</v>
      </c>
      <c r="U49" s="1361">
        <f>S49/$S$15*100</f>
        <v>0.43587367280698414</v>
      </c>
      <c r="V49" s="1272">
        <v>1</v>
      </c>
      <c r="W49" s="1273" t="s">
        <v>148</v>
      </c>
      <c r="X49" s="1274">
        <f>V49/D49*100</f>
        <v>20</v>
      </c>
      <c r="Y49" s="1274">
        <f>X49*U49/100</f>
        <v>8.7174734561396822E-2</v>
      </c>
      <c r="Z49" s="1275" t="e">
        <f>SUM(Z51:Z56)</f>
        <v>#REF!</v>
      </c>
      <c r="AA49" s="1274" t="e">
        <f>Z49/S49*100</f>
        <v>#REF!</v>
      </c>
      <c r="AB49" s="1274" t="e">
        <f>AA49*U49/100</f>
        <v>#REF!</v>
      </c>
      <c r="AC49" s="1310"/>
      <c r="AD49" s="1297">
        <f t="shared" si="14"/>
        <v>5</v>
      </c>
      <c r="AE49" s="1278">
        <f>S49-2544000</f>
        <v>-484000</v>
      </c>
    </row>
    <row r="50" spans="2:31" s="1259" customFormat="1" ht="12.75" customHeight="1">
      <c r="B50" s="1362" t="s">
        <v>310</v>
      </c>
      <c r="C50" s="1319"/>
      <c r="D50" s="1333"/>
      <c r="E50" s="1363"/>
      <c r="F50" s="1364"/>
      <c r="G50" s="1365"/>
      <c r="H50" s="1367"/>
      <c r="I50" s="1370"/>
      <c r="J50" s="1367"/>
      <c r="K50" s="1367"/>
      <c r="L50" s="1393"/>
      <c r="M50" s="1369"/>
      <c r="N50" s="1367"/>
      <c r="O50" s="1370"/>
      <c r="P50" s="1369"/>
      <c r="Q50" s="1367"/>
      <c r="R50" s="1370"/>
      <c r="S50" s="1292"/>
      <c r="T50" s="1295"/>
      <c r="U50" s="1342"/>
      <c r="V50" s="1291"/>
      <c r="W50" s="1292"/>
      <c r="X50" s="1293"/>
      <c r="Y50" s="1293"/>
      <c r="Z50" s="1295"/>
      <c r="AA50" s="1293"/>
      <c r="AB50" s="1293"/>
      <c r="AC50" s="1310"/>
      <c r="AD50" s="1297"/>
    </row>
    <row r="51" spans="2:31" s="1259" customFormat="1" ht="12.75" customHeight="1">
      <c r="B51" s="1331" t="s">
        <v>66</v>
      </c>
      <c r="C51" s="1332" t="s">
        <v>278</v>
      </c>
      <c r="D51" s="1333"/>
      <c r="E51" s="1334"/>
      <c r="F51" s="1332"/>
      <c r="G51" s="1335">
        <f>G49/$D$49*100</f>
        <v>0</v>
      </c>
      <c r="H51" s="1336">
        <f t="shared" ref="H51:R51" si="15">H49/$D$49*100</f>
        <v>20</v>
      </c>
      <c r="I51" s="1337">
        <f t="shared" si="15"/>
        <v>20</v>
      </c>
      <c r="J51" s="1336">
        <f t="shared" si="15"/>
        <v>0</v>
      </c>
      <c r="K51" s="1336">
        <f t="shared" si="15"/>
        <v>20</v>
      </c>
      <c r="L51" s="1338">
        <f t="shared" si="15"/>
        <v>0</v>
      </c>
      <c r="M51" s="1339">
        <f t="shared" si="15"/>
        <v>20</v>
      </c>
      <c r="N51" s="1336">
        <f t="shared" si="15"/>
        <v>0</v>
      </c>
      <c r="O51" s="1337">
        <f t="shared" si="15"/>
        <v>20</v>
      </c>
      <c r="P51" s="1339">
        <f t="shared" si="15"/>
        <v>0</v>
      </c>
      <c r="Q51" s="1336">
        <f t="shared" si="15"/>
        <v>0</v>
      </c>
      <c r="R51" s="1337">
        <f t="shared" si="15"/>
        <v>0</v>
      </c>
      <c r="S51" s="1340"/>
      <c r="T51" s="1341"/>
      <c r="U51" s="1342"/>
      <c r="V51" s="1291"/>
      <c r="W51" s="1292"/>
      <c r="X51" s="1293"/>
      <c r="Y51" s="1294"/>
      <c r="Z51" s="1295">
        <v>0</v>
      </c>
      <c r="AA51" s="1293" t="e">
        <f>Z51/S51*100</f>
        <v>#DIV/0!</v>
      </c>
      <c r="AB51" s="1293" t="e">
        <f>AA51*U51/100</f>
        <v>#DIV/0!</v>
      </c>
      <c r="AC51" s="1310"/>
      <c r="AD51" s="1297">
        <f t="shared" si="14"/>
        <v>100</v>
      </c>
    </row>
    <row r="52" spans="2:31" s="1259" customFormat="1" ht="12.75" customHeight="1">
      <c r="B52" s="1331" t="s">
        <v>67</v>
      </c>
      <c r="C52" s="1343" t="s">
        <v>279</v>
      </c>
      <c r="D52" s="1333"/>
      <c r="E52" s="1334"/>
      <c r="F52" s="1332"/>
      <c r="G52" s="1335">
        <f>SUM($G$51)</f>
        <v>0</v>
      </c>
      <c r="H52" s="1336">
        <f>SUM($G$51:H51)</f>
        <v>20</v>
      </c>
      <c r="I52" s="1337">
        <f>SUM($G$51:I51)</f>
        <v>40</v>
      </c>
      <c r="J52" s="1336">
        <f>SUM($G$51:$J$51)</f>
        <v>40</v>
      </c>
      <c r="K52" s="1336">
        <f>SUM($G$51:K51)</f>
        <v>60</v>
      </c>
      <c r="L52" s="1338">
        <f>SUM($G$51:L51)</f>
        <v>60</v>
      </c>
      <c r="M52" s="1339">
        <f>SUM($G$51:$M$51)</f>
        <v>80</v>
      </c>
      <c r="N52" s="1336">
        <f>SUM($G$51:N51)</f>
        <v>80</v>
      </c>
      <c r="O52" s="1337">
        <f>SUM($G$51:O51)</f>
        <v>100</v>
      </c>
      <c r="P52" s="1339">
        <f>SUM($G$51:$P$51)</f>
        <v>100</v>
      </c>
      <c r="Q52" s="1336">
        <f>SUM($G$51:Q51)</f>
        <v>100</v>
      </c>
      <c r="R52" s="1337">
        <f>SUM($G$51:R51)</f>
        <v>100</v>
      </c>
      <c r="S52" s="1292"/>
      <c r="T52" s="1295"/>
      <c r="U52" s="1342"/>
      <c r="V52" s="1291"/>
      <c r="W52" s="1292"/>
      <c r="X52" s="1293"/>
      <c r="Y52" s="1294"/>
      <c r="Z52" s="1295">
        <v>0</v>
      </c>
      <c r="AA52" s="1293" t="e">
        <f>Z52/S52*100</f>
        <v>#DIV/0!</v>
      </c>
      <c r="AB52" s="1293" t="e">
        <f>AA52*U52/100</f>
        <v>#DIV/0!</v>
      </c>
      <c r="AC52" s="1310"/>
      <c r="AD52" s="1297">
        <f t="shared" si="14"/>
        <v>780</v>
      </c>
    </row>
    <row r="53" spans="2:31" s="1259" customFormat="1" ht="12.75" customHeight="1" thickBot="1">
      <c r="B53" s="1398" t="s">
        <v>68</v>
      </c>
      <c r="C53" s="1377" t="s">
        <v>280</v>
      </c>
      <c r="D53" s="1375"/>
      <c r="E53" s="1376"/>
      <c r="F53" s="1377"/>
      <c r="G53" s="1399">
        <f>G51*$U$49/100</f>
        <v>0</v>
      </c>
      <c r="H53" s="1399">
        <f t="shared" ref="H53:R53" si="16">H51*$U$49/100</f>
        <v>8.7174734561396822E-2</v>
      </c>
      <c r="I53" s="1400">
        <f t="shared" si="16"/>
        <v>8.7174734561396822E-2</v>
      </c>
      <c r="J53" s="1401">
        <f t="shared" si="16"/>
        <v>0</v>
      </c>
      <c r="K53" s="1399">
        <f t="shared" si="16"/>
        <v>8.7174734561396822E-2</v>
      </c>
      <c r="L53" s="1402">
        <f t="shared" si="16"/>
        <v>0</v>
      </c>
      <c r="M53" s="1403">
        <f t="shared" si="16"/>
        <v>8.7174734561396822E-2</v>
      </c>
      <c r="N53" s="1399">
        <f t="shared" si="16"/>
        <v>0</v>
      </c>
      <c r="O53" s="1400">
        <f t="shared" si="16"/>
        <v>8.7174734561396822E-2</v>
      </c>
      <c r="P53" s="1403">
        <f t="shared" si="16"/>
        <v>0</v>
      </c>
      <c r="Q53" s="1399">
        <f t="shared" si="16"/>
        <v>0</v>
      </c>
      <c r="R53" s="1400">
        <f t="shared" si="16"/>
        <v>0</v>
      </c>
      <c r="S53" s="1383"/>
      <c r="T53" s="1384"/>
      <c r="U53" s="1385"/>
      <c r="V53" s="1291"/>
      <c r="W53" s="1292"/>
      <c r="X53" s="1293"/>
      <c r="Y53" s="1294"/>
      <c r="Z53" s="1295"/>
      <c r="AA53" s="1293"/>
      <c r="AB53" s="1293"/>
      <c r="AC53" s="1310"/>
      <c r="AD53" s="1297">
        <f t="shared" si="14"/>
        <v>0.43587367280698408</v>
      </c>
    </row>
    <row r="54" spans="2:31" ht="12.75" customHeight="1" thickBot="1">
      <c r="B54" s="1404" t="s">
        <v>41</v>
      </c>
      <c r="C54" s="1405" t="s">
        <v>291</v>
      </c>
      <c r="D54" s="816"/>
      <c r="E54" s="817"/>
      <c r="F54" s="818"/>
      <c r="G54" s="1406">
        <f>G19+G24+G30+G35+G41+G47+G53</f>
        <v>0.6528682321443432</v>
      </c>
      <c r="H54" s="819">
        <f t="shared" ref="H54:R54" si="17">H19+H24+H30+H35+H41+H47+H53</f>
        <v>45.545458520766068</v>
      </c>
      <c r="I54" s="1407">
        <f t="shared" si="17"/>
        <v>1.0074296007594639</v>
      </c>
      <c r="J54" s="819">
        <f t="shared" si="17"/>
        <v>0.95230921357951015</v>
      </c>
      <c r="K54" s="819">
        <f t="shared" si="17"/>
        <v>1.1002185010741676</v>
      </c>
      <c r="L54" s="1408">
        <f t="shared" si="17"/>
        <v>0.95230921357951015</v>
      </c>
      <c r="M54" s="1409">
        <f t="shared" si="17"/>
        <v>23.399600237544099</v>
      </c>
      <c r="N54" s="819">
        <f t="shared" si="17"/>
        <v>0.95230921357951015</v>
      </c>
      <c r="O54" s="1407">
        <f t="shared" si="17"/>
        <v>0.9466950478262034</v>
      </c>
      <c r="P54" s="1409">
        <f t="shared" si="17"/>
        <v>0.8595203132648066</v>
      </c>
      <c r="Q54" s="819">
        <f t="shared" si="17"/>
        <v>0.75071834520348524</v>
      </c>
      <c r="R54" s="1407">
        <f t="shared" si="17"/>
        <v>22.880563560678837</v>
      </c>
      <c r="S54" s="1410"/>
      <c r="T54" s="820"/>
      <c r="U54" s="996"/>
      <c r="V54" s="997"/>
      <c r="W54" s="998"/>
      <c r="X54" s="999"/>
      <c r="Y54" s="999">
        <f>SUM(Y16:Y53)</f>
        <v>7.9167241483888882</v>
      </c>
      <c r="Z54" s="1000" t="e">
        <f>Z15</f>
        <v>#REF!</v>
      </c>
      <c r="AA54" s="1000">
        <f>AA15</f>
        <v>0</v>
      </c>
      <c r="AB54" s="1001" t="e">
        <f>AB16+#REF!+#REF!+#REF!+#REF!+#REF!+#REF!</f>
        <v>#REF!</v>
      </c>
      <c r="AC54" s="1002"/>
      <c r="AD54" s="1297">
        <f>SUM(G54:R54)</f>
        <v>100</v>
      </c>
    </row>
    <row r="55" spans="2:31" ht="12.75" customHeight="1" thickTop="1" thickBot="1">
      <c r="B55" s="1411" t="s">
        <v>42</v>
      </c>
      <c r="C55" s="1412" t="s">
        <v>292</v>
      </c>
      <c r="D55" s="1413"/>
      <c r="E55" s="420"/>
      <c r="F55" s="421"/>
      <c r="G55" s="1414">
        <f>SUM($G$54:G54)</f>
        <v>0.6528682321443432</v>
      </c>
      <c r="H55" s="1414">
        <f>SUM($G$54:H54)</f>
        <v>46.198326752910411</v>
      </c>
      <c r="I55" s="1415">
        <f>SUM($G$54:I54)</f>
        <v>47.205756353669877</v>
      </c>
      <c r="J55" s="1416">
        <f>SUM($G$54:J54)</f>
        <v>48.158065567249388</v>
      </c>
      <c r="K55" s="1414">
        <f>SUM($G$54:K54)</f>
        <v>49.258284068323555</v>
      </c>
      <c r="L55" s="1417">
        <f>SUM($G$54:L54)</f>
        <v>50.210593281903066</v>
      </c>
      <c r="M55" s="1418">
        <f>SUM($G$54:M54)</f>
        <v>73.610193519447165</v>
      </c>
      <c r="N55" s="1414">
        <f>SUM($G$54:N54)</f>
        <v>74.562502733026676</v>
      </c>
      <c r="O55" s="1415">
        <f>SUM($G$54:O54)</f>
        <v>75.509197780852872</v>
      </c>
      <c r="P55" s="1418">
        <f>SUM($G$54:P54)</f>
        <v>76.368718094117682</v>
      </c>
      <c r="Q55" s="1414">
        <f>SUM($G$54:Q54)</f>
        <v>77.119436439321163</v>
      </c>
      <c r="R55" s="1415">
        <f>SUM($G$54:R54)</f>
        <v>100</v>
      </c>
      <c r="S55" s="1419"/>
      <c r="T55" s="421"/>
      <c r="U55" s="423"/>
      <c r="V55" s="424"/>
      <c r="W55" s="425"/>
      <c r="X55" s="425"/>
      <c r="Y55" s="425"/>
      <c r="Z55" s="425"/>
      <c r="AA55" s="426"/>
      <c r="AB55" s="426"/>
      <c r="AC55" s="426"/>
      <c r="AD55" s="1297">
        <f>SUM(G55:R55)</f>
        <v>718.85394282296613</v>
      </c>
    </row>
    <row r="56" spans="2:31" s="1420" customFormat="1" ht="12.75" customHeight="1">
      <c r="B56" s="1421"/>
      <c r="C56" s="1421"/>
      <c r="D56" s="1422"/>
      <c r="E56" s="1422"/>
      <c r="F56" s="1422"/>
      <c r="G56" s="1423"/>
      <c r="H56" s="1423"/>
      <c r="I56" s="1423"/>
      <c r="J56" s="1423"/>
      <c r="K56" s="1423"/>
      <c r="L56" s="1423"/>
      <c r="M56" s="1423"/>
      <c r="N56" s="1423"/>
      <c r="O56" s="1423"/>
      <c r="P56" s="1423"/>
      <c r="Q56" s="1423"/>
      <c r="R56" s="1423"/>
      <c r="S56" s="1422"/>
      <c r="T56" s="1422"/>
      <c r="U56" s="1424"/>
      <c r="V56" s="1425"/>
      <c r="W56" s="1422"/>
      <c r="X56" s="1422"/>
      <c r="Y56" s="1422"/>
      <c r="Z56" s="1422"/>
      <c r="AA56" s="1426"/>
      <c r="AB56" s="1426"/>
      <c r="AC56" s="1426"/>
    </row>
    <row r="57" spans="2:31" s="1427" customFormat="1" ht="12">
      <c r="B57" s="1428"/>
      <c r="C57" s="1428"/>
      <c r="D57" s="1428"/>
      <c r="E57" s="1428"/>
      <c r="F57" s="1429"/>
      <c r="G57" s="1430"/>
      <c r="H57" s="1430"/>
      <c r="I57" s="1430"/>
      <c r="J57" s="1430"/>
      <c r="K57" s="1430"/>
      <c r="L57" s="1430"/>
      <c r="M57" s="1431"/>
      <c r="N57" s="1431"/>
      <c r="O57" s="1431"/>
      <c r="P57" s="1431"/>
      <c r="Q57" s="1431"/>
      <c r="R57" s="1431" t="s">
        <v>293</v>
      </c>
      <c r="V57" s="1431"/>
      <c r="W57" s="1428"/>
      <c r="X57" s="1432"/>
      <c r="Y57" s="1428"/>
      <c r="Z57" s="1432"/>
      <c r="AA57" s="1428"/>
      <c r="AB57" s="1431" t="s">
        <v>156</v>
      </c>
    </row>
    <row r="58" spans="2:31" s="1427" customFormat="1" ht="12">
      <c r="C58" s="1431"/>
      <c r="D58" s="1431"/>
      <c r="E58" s="1431"/>
      <c r="F58" s="1431" t="s">
        <v>98</v>
      </c>
      <c r="G58" s="1430"/>
      <c r="H58" s="1430"/>
      <c r="I58" s="1393"/>
      <c r="J58" s="1393"/>
      <c r="K58" s="1393"/>
      <c r="L58" s="1393"/>
      <c r="M58" s="1393"/>
      <c r="N58" s="1393"/>
      <c r="O58" s="1393"/>
      <c r="P58" s="1393"/>
      <c r="Q58" s="1393"/>
      <c r="R58" s="1393"/>
      <c r="S58" s="1393"/>
      <c r="T58" s="1393"/>
      <c r="U58" s="1433"/>
      <c r="V58" s="1273">
        <v>0</v>
      </c>
      <c r="W58" s="1361">
        <f>U58/$S$15*100</f>
        <v>0</v>
      </c>
      <c r="X58" s="1431"/>
      <c r="Y58" s="1431"/>
      <c r="Z58" s="1434"/>
      <c r="AA58" s="1431"/>
      <c r="AB58" s="1428"/>
      <c r="AC58" s="1431"/>
    </row>
    <row r="59" spans="2:31" s="1427" customFormat="1" ht="12">
      <c r="C59" s="1431"/>
      <c r="D59" s="1431"/>
      <c r="E59" s="1431"/>
      <c r="F59" s="1431" t="s">
        <v>99</v>
      </c>
      <c r="G59" s="1430"/>
      <c r="H59" s="1430"/>
      <c r="I59" s="1338"/>
      <c r="J59" s="1338"/>
      <c r="K59" s="1338"/>
      <c r="L59" s="1338"/>
      <c r="M59" s="1338"/>
      <c r="N59" s="1338"/>
      <c r="O59" s="1338"/>
      <c r="P59" s="1338"/>
      <c r="Q59" s="1338"/>
      <c r="R59" s="1338"/>
      <c r="S59" s="1338" t="s">
        <v>46</v>
      </c>
      <c r="T59" s="1338"/>
      <c r="U59" s="1435"/>
      <c r="V59" s="1340"/>
      <c r="W59" s="1342"/>
      <c r="X59" s="1431"/>
      <c r="Y59" s="1431"/>
      <c r="Z59" s="1434"/>
      <c r="AB59" s="1431" t="s">
        <v>157</v>
      </c>
    </row>
    <row r="60" spans="2:31" s="1427" customFormat="1" ht="12">
      <c r="C60" s="1431"/>
      <c r="D60" s="1431"/>
      <c r="E60" s="1431"/>
      <c r="F60" s="1431" t="s">
        <v>311</v>
      </c>
      <c r="G60" s="1430"/>
      <c r="H60" s="1430"/>
      <c r="I60" s="1338"/>
      <c r="J60" s="1338"/>
      <c r="K60" s="1338"/>
      <c r="L60" s="1338"/>
      <c r="M60" s="1338"/>
      <c r="N60" s="1338"/>
      <c r="O60" s="1338"/>
      <c r="P60" s="1338"/>
      <c r="Q60" s="1338"/>
      <c r="R60" s="1338"/>
      <c r="S60" s="1338"/>
      <c r="T60" s="1338"/>
      <c r="U60" s="1435"/>
      <c r="V60" s="1340"/>
      <c r="W60" s="1342"/>
      <c r="X60" s="1431"/>
      <c r="Y60" s="1431"/>
      <c r="Z60" s="1434"/>
      <c r="AB60" s="1431"/>
    </row>
    <row r="61" spans="2:31" s="1427" customFormat="1" ht="12">
      <c r="C61" s="1431"/>
      <c r="D61" s="1431"/>
      <c r="E61" s="1431"/>
      <c r="F61" s="1431"/>
      <c r="G61" s="1430"/>
      <c r="H61" s="1430"/>
      <c r="I61" s="1338"/>
      <c r="J61" s="1338"/>
      <c r="K61" s="1338"/>
      <c r="L61" s="1338"/>
      <c r="M61" s="1338"/>
      <c r="N61" s="1338"/>
      <c r="O61" s="1338"/>
      <c r="P61" s="1338"/>
      <c r="Q61" s="1338"/>
      <c r="R61" s="1338"/>
      <c r="S61" s="1338"/>
      <c r="T61" s="1338"/>
      <c r="U61" s="1433"/>
      <c r="V61" s="1292"/>
      <c r="W61" s="1342"/>
      <c r="X61" s="1431"/>
      <c r="Y61" s="1431"/>
      <c r="Z61" s="1436"/>
      <c r="AA61" s="1431"/>
      <c r="AB61" s="1428"/>
      <c r="AC61" s="1431"/>
    </row>
    <row r="62" spans="2:31" s="1427" customFormat="1" ht="12">
      <c r="C62" s="1431"/>
      <c r="D62" s="1431"/>
      <c r="E62" s="1431"/>
      <c r="F62" s="1431"/>
      <c r="G62" s="1431"/>
      <c r="H62" s="1431"/>
      <c r="I62" s="1338"/>
      <c r="J62" s="1338"/>
      <c r="K62" s="1338"/>
      <c r="L62" s="1338"/>
      <c r="M62" s="1338"/>
      <c r="N62" s="1338"/>
      <c r="O62" s="1338"/>
      <c r="P62" s="1338"/>
      <c r="Q62" s="1338"/>
      <c r="R62" s="1338"/>
      <c r="S62" s="1338"/>
      <c r="T62" s="1338"/>
      <c r="U62" s="1433"/>
      <c r="V62" s="1292"/>
      <c r="W62" s="1342"/>
      <c r="X62" s="1431"/>
      <c r="Y62" s="1431"/>
      <c r="Z62" s="1434"/>
      <c r="AA62" s="1431"/>
      <c r="AB62" s="1428"/>
      <c r="AC62" s="1431"/>
    </row>
    <row r="63" spans="2:31" s="1427" customFormat="1" ht="12">
      <c r="C63" s="1437"/>
      <c r="D63" s="1437"/>
      <c r="E63" s="1437"/>
      <c r="F63" s="1437" t="s">
        <v>192</v>
      </c>
      <c r="G63" s="1437"/>
      <c r="H63" s="1437"/>
      <c r="I63" s="1437"/>
      <c r="J63" s="1437"/>
      <c r="K63" s="1437"/>
      <c r="L63" s="1437"/>
      <c r="M63" s="1437"/>
      <c r="N63" s="1437"/>
      <c r="O63" s="1437"/>
      <c r="P63" s="1437"/>
      <c r="Q63" s="1437"/>
      <c r="R63" s="1437"/>
      <c r="S63" s="1437" t="s">
        <v>312</v>
      </c>
      <c r="V63" s="1437"/>
      <c r="W63" s="1437"/>
      <c r="X63" s="1437"/>
      <c r="Y63" s="1437"/>
      <c r="Z63" s="1438"/>
      <c r="AA63" s="1437"/>
      <c r="AB63" s="1437" t="s">
        <v>160</v>
      </c>
    </row>
    <row r="64" spans="2:31" s="1427" customFormat="1" ht="12">
      <c r="C64" s="1439"/>
      <c r="D64" s="1431"/>
      <c r="E64" s="1431"/>
      <c r="F64" s="1431" t="s">
        <v>49</v>
      </c>
      <c r="G64" s="1431"/>
      <c r="H64" s="1431"/>
      <c r="I64" s="1431"/>
      <c r="J64" s="1431"/>
      <c r="K64" s="1431"/>
      <c r="L64" s="1431"/>
      <c r="M64" s="1431"/>
      <c r="N64" s="1431"/>
      <c r="O64" s="1431"/>
      <c r="P64" s="1431"/>
      <c r="Q64" s="1431"/>
      <c r="R64" s="1431"/>
      <c r="S64" s="1440" t="s">
        <v>313</v>
      </c>
      <c r="V64" s="1431"/>
      <c r="W64" s="1431"/>
      <c r="X64" s="1431"/>
      <c r="Y64" s="1431"/>
      <c r="Z64" s="1434"/>
      <c r="AA64" s="1431"/>
      <c r="AB64" s="1431" t="s">
        <v>162</v>
      </c>
    </row>
    <row r="65" spans="2:29" s="1427" customFormat="1" ht="12">
      <c r="B65" s="1428"/>
      <c r="C65" s="1428"/>
      <c r="D65" s="1428"/>
      <c r="E65" s="1428"/>
      <c r="F65" s="1428"/>
      <c r="G65" s="1431"/>
      <c r="H65" s="1431"/>
      <c r="I65" s="1431"/>
      <c r="J65" s="1431"/>
      <c r="K65" s="1431"/>
      <c r="L65" s="1431"/>
      <c r="M65" s="1431"/>
      <c r="N65" s="1431"/>
      <c r="O65" s="1431"/>
      <c r="P65" s="1431"/>
      <c r="Q65" s="1431"/>
      <c r="R65" s="1431"/>
      <c r="S65" s="1432"/>
      <c r="T65" s="1432"/>
      <c r="U65" s="1428"/>
      <c r="V65" s="1431"/>
      <c r="W65" s="1428"/>
      <c r="X65" s="1428"/>
      <c r="Y65" s="1428"/>
      <c r="Z65" s="1432"/>
      <c r="AA65" s="1428"/>
      <c r="AB65" s="1428"/>
      <c r="AC65" s="1428"/>
    </row>
    <row r="67" spans="2:29" ht="15.75">
      <c r="S67" s="1441"/>
    </row>
    <row r="96" spans="2:2">
      <c r="B96" s="271" t="s">
        <v>314</v>
      </c>
    </row>
    <row r="97" spans="2:31">
      <c r="B97" s="1442" t="s">
        <v>315</v>
      </c>
    </row>
    <row r="98" spans="2:31">
      <c r="B98" s="1443" t="s">
        <v>316</v>
      </c>
      <c r="F98" s="271">
        <v>51</v>
      </c>
    </row>
    <row r="99" spans="2:31">
      <c r="B99" s="1443" t="s">
        <v>317</v>
      </c>
      <c r="F99" s="271">
        <v>2</v>
      </c>
    </row>
    <row r="100" spans="2:31">
      <c r="B100" s="1443"/>
      <c r="F100" s="1444">
        <f>SUM(F98:F99)</f>
        <v>53</v>
      </c>
    </row>
    <row r="102" spans="2:31" s="435" customFormat="1">
      <c r="B102" s="1442" t="s">
        <v>318</v>
      </c>
      <c r="C102" s="271"/>
      <c r="D102" s="271"/>
      <c r="E102" s="271"/>
      <c r="F102" s="271"/>
      <c r="S102" s="271"/>
      <c r="T102" s="271"/>
      <c r="U102" s="271"/>
      <c r="W102" s="271"/>
      <c r="X102" s="271"/>
      <c r="Y102" s="271"/>
      <c r="Z102" s="271"/>
      <c r="AA102" s="271"/>
      <c r="AB102" s="271"/>
      <c r="AC102" s="271"/>
      <c r="AD102" s="271"/>
      <c r="AE102" s="271"/>
    </row>
    <row r="103" spans="2:31" s="435" customFormat="1">
      <c r="B103" s="1443" t="s">
        <v>319</v>
      </c>
      <c r="C103" s="271"/>
      <c r="D103" s="271"/>
      <c r="E103" s="271"/>
      <c r="F103" s="271">
        <v>50</v>
      </c>
      <c r="G103" s="435" t="s">
        <v>320</v>
      </c>
      <c r="S103" s="271"/>
      <c r="T103" s="271"/>
      <c r="U103" s="271"/>
      <c r="W103" s="271"/>
      <c r="X103" s="271"/>
      <c r="Y103" s="271"/>
      <c r="Z103" s="271"/>
      <c r="AA103" s="271"/>
      <c r="AB103" s="271"/>
      <c r="AC103" s="271"/>
      <c r="AD103" s="271"/>
      <c r="AE103" s="271"/>
    </row>
    <row r="104" spans="2:31" s="435" customFormat="1">
      <c r="B104" s="1443" t="s">
        <v>321</v>
      </c>
      <c r="C104" s="271"/>
      <c r="D104" s="271"/>
      <c r="E104" s="271"/>
      <c r="F104" s="271">
        <v>50</v>
      </c>
      <c r="G104" s="435" t="s">
        <v>320</v>
      </c>
      <c r="S104" s="271"/>
      <c r="T104" s="271"/>
      <c r="U104" s="271"/>
      <c r="W104" s="271"/>
      <c r="X104" s="271"/>
      <c r="Y104" s="271"/>
      <c r="Z104" s="271"/>
      <c r="AA104" s="271"/>
      <c r="AB104" s="271"/>
      <c r="AC104" s="271"/>
      <c r="AD104" s="271"/>
      <c r="AE104" s="271"/>
    </row>
    <row r="105" spans="2:31" s="435" customFormat="1">
      <c r="B105" s="1443" t="s">
        <v>322</v>
      </c>
      <c r="C105" s="271"/>
      <c r="D105" s="271"/>
      <c r="E105" s="271"/>
      <c r="F105" s="271">
        <v>20</v>
      </c>
      <c r="G105" s="435" t="s">
        <v>323</v>
      </c>
      <c r="S105" s="271"/>
      <c r="T105" s="271"/>
      <c r="U105" s="271"/>
      <c r="W105" s="271"/>
      <c r="X105" s="271"/>
      <c r="Y105" s="271"/>
      <c r="Z105" s="271"/>
      <c r="AA105" s="271"/>
      <c r="AB105" s="271"/>
      <c r="AC105" s="271"/>
      <c r="AD105" s="271"/>
      <c r="AE105" s="271"/>
    </row>
    <row r="106" spans="2:31" s="435" customFormat="1">
      <c r="B106" s="1443" t="s">
        <v>324</v>
      </c>
      <c r="C106" s="271"/>
      <c r="D106" s="271"/>
      <c r="E106" s="271"/>
      <c r="F106" s="271">
        <v>50</v>
      </c>
      <c r="G106" s="435" t="s">
        <v>325</v>
      </c>
      <c r="S106" s="271"/>
      <c r="T106" s="271"/>
      <c r="U106" s="271"/>
      <c r="W106" s="271"/>
      <c r="X106" s="271"/>
      <c r="Y106" s="271"/>
      <c r="Z106" s="271"/>
      <c r="AA106" s="271"/>
      <c r="AB106" s="271"/>
      <c r="AC106" s="271"/>
      <c r="AD106" s="271"/>
      <c r="AE106" s="271"/>
    </row>
    <row r="107" spans="2:31" s="435" customFormat="1">
      <c r="B107" s="1443" t="s">
        <v>326</v>
      </c>
      <c r="C107" s="271"/>
      <c r="D107" s="271"/>
      <c r="E107" s="271"/>
      <c r="F107" s="271">
        <v>50</v>
      </c>
      <c r="G107" s="435" t="s">
        <v>327</v>
      </c>
      <c r="S107" s="271"/>
      <c r="T107" s="271"/>
      <c r="U107" s="271"/>
      <c r="W107" s="271"/>
      <c r="X107" s="271"/>
      <c r="Y107" s="271"/>
      <c r="Z107" s="271"/>
      <c r="AA107" s="271"/>
      <c r="AB107" s="271"/>
      <c r="AC107" s="271"/>
      <c r="AD107" s="271"/>
      <c r="AE107" s="271"/>
    </row>
    <row r="108" spans="2:31" s="435" customFormat="1">
      <c r="B108" s="1443" t="s">
        <v>328</v>
      </c>
      <c r="C108" s="271"/>
      <c r="D108" s="271"/>
      <c r="E108" s="271"/>
      <c r="F108" s="271">
        <v>100</v>
      </c>
      <c r="G108" s="435" t="s">
        <v>325</v>
      </c>
      <c r="S108" s="271"/>
      <c r="T108" s="271"/>
      <c r="U108" s="271"/>
      <c r="W108" s="271"/>
      <c r="X108" s="271"/>
      <c r="Y108" s="271"/>
      <c r="Z108" s="271"/>
      <c r="AA108" s="271"/>
      <c r="AB108" s="271"/>
      <c r="AC108" s="271"/>
      <c r="AD108" s="271"/>
      <c r="AE108" s="271"/>
    </row>
    <row r="109" spans="2:31" s="435" customFormat="1">
      <c r="B109" s="1443" t="s">
        <v>329</v>
      </c>
      <c r="C109" s="271"/>
      <c r="D109" s="271"/>
      <c r="E109" s="271"/>
      <c r="F109" s="271">
        <v>50</v>
      </c>
      <c r="G109" s="435" t="s">
        <v>330</v>
      </c>
      <c r="S109" s="271"/>
      <c r="T109" s="271"/>
      <c r="U109" s="271"/>
      <c r="W109" s="271"/>
      <c r="X109" s="271"/>
      <c r="Y109" s="271"/>
      <c r="Z109" s="271"/>
      <c r="AA109" s="271"/>
      <c r="AB109" s="271"/>
      <c r="AC109" s="271"/>
      <c r="AD109" s="271"/>
      <c r="AE109" s="271"/>
    </row>
    <row r="110" spans="2:31" s="435" customFormat="1">
      <c r="B110" s="1443" t="s">
        <v>331</v>
      </c>
      <c r="C110" s="271"/>
      <c r="D110" s="271"/>
      <c r="E110" s="271"/>
      <c r="F110" s="271">
        <v>80</v>
      </c>
      <c r="G110" s="435" t="s">
        <v>320</v>
      </c>
      <c r="S110" s="271"/>
      <c r="T110" s="271"/>
      <c r="U110" s="271"/>
      <c r="W110" s="271"/>
      <c r="X110" s="271"/>
      <c r="Y110" s="271"/>
      <c r="Z110" s="271"/>
      <c r="AA110" s="271"/>
      <c r="AB110" s="271"/>
      <c r="AC110" s="271"/>
      <c r="AD110" s="271"/>
      <c r="AE110" s="271"/>
    </row>
    <row r="111" spans="2:31" s="435" customFormat="1">
      <c r="B111" s="1443" t="s">
        <v>332</v>
      </c>
      <c r="C111" s="271"/>
      <c r="D111" s="271"/>
      <c r="E111" s="271"/>
      <c r="F111" s="271">
        <v>50</v>
      </c>
      <c r="G111" s="435" t="s">
        <v>333</v>
      </c>
      <c r="S111" s="271"/>
      <c r="T111" s="271"/>
      <c r="U111" s="271"/>
      <c r="W111" s="271"/>
      <c r="X111" s="271"/>
      <c r="Y111" s="271"/>
      <c r="Z111" s="271"/>
      <c r="AA111" s="271"/>
      <c r="AB111" s="271"/>
      <c r="AC111" s="271"/>
      <c r="AD111" s="271"/>
      <c r="AE111" s="271"/>
    </row>
    <row r="112" spans="2:31" s="435" customFormat="1">
      <c r="B112" s="1443" t="s">
        <v>334</v>
      </c>
      <c r="C112" s="271"/>
      <c r="D112" s="271"/>
      <c r="E112" s="271"/>
      <c r="F112" s="271">
        <v>50</v>
      </c>
      <c r="G112" s="435" t="s">
        <v>325</v>
      </c>
      <c r="S112" s="271"/>
      <c r="T112" s="271"/>
      <c r="U112" s="271"/>
      <c r="W112" s="271"/>
      <c r="X112" s="271"/>
      <c r="Y112" s="271"/>
      <c r="Z112" s="271"/>
      <c r="AA112" s="271"/>
      <c r="AB112" s="271"/>
      <c r="AC112" s="271"/>
      <c r="AD112" s="271"/>
      <c r="AE112" s="271"/>
    </row>
    <row r="113" spans="2:31" s="435" customFormat="1">
      <c r="B113" s="1443" t="s">
        <v>335</v>
      </c>
      <c r="C113" s="271"/>
      <c r="D113" s="271"/>
      <c r="E113" s="271"/>
      <c r="F113" s="271">
        <v>60</v>
      </c>
      <c r="G113" s="435" t="s">
        <v>336</v>
      </c>
      <c r="S113" s="271"/>
      <c r="T113" s="271"/>
      <c r="U113" s="271"/>
      <c r="W113" s="271"/>
      <c r="X113" s="271"/>
      <c r="Y113" s="271"/>
      <c r="Z113" s="271"/>
      <c r="AA113" s="271"/>
      <c r="AB113" s="271"/>
      <c r="AC113" s="271"/>
      <c r="AD113" s="271"/>
      <c r="AE113" s="271"/>
    </row>
    <row r="114" spans="2:31" s="435" customFormat="1">
      <c r="B114" s="1443" t="s">
        <v>337</v>
      </c>
      <c r="C114" s="271"/>
      <c r="D114" s="271"/>
      <c r="E114" s="271"/>
      <c r="F114" s="271">
        <v>30</v>
      </c>
      <c r="G114" s="435" t="s">
        <v>327</v>
      </c>
      <c r="S114" s="271"/>
      <c r="T114" s="271"/>
      <c r="U114" s="271"/>
      <c r="W114" s="271"/>
      <c r="X114" s="271"/>
      <c r="Y114" s="271"/>
      <c r="Z114" s="271"/>
      <c r="AA114" s="271"/>
      <c r="AB114" s="271"/>
      <c r="AC114" s="271"/>
      <c r="AD114" s="271"/>
      <c r="AE114" s="271"/>
    </row>
    <row r="115" spans="2:31" s="435" customFormat="1">
      <c r="B115" s="1443" t="s">
        <v>338</v>
      </c>
      <c r="C115" s="271"/>
      <c r="D115" s="271"/>
      <c r="E115" s="271"/>
      <c r="F115" s="271">
        <v>210</v>
      </c>
      <c r="G115" s="435" t="s">
        <v>339</v>
      </c>
      <c r="S115" s="271"/>
      <c r="T115" s="271"/>
      <c r="U115" s="271"/>
      <c r="W115" s="271"/>
      <c r="X115" s="271"/>
      <c r="Y115" s="271"/>
      <c r="Z115" s="271"/>
      <c r="AA115" s="271"/>
      <c r="AB115" s="271"/>
      <c r="AC115" s="271"/>
      <c r="AD115" s="271"/>
      <c r="AE115" s="271"/>
    </row>
    <row r="116" spans="2:31" s="435" customFormat="1">
      <c r="B116" s="1443" t="s">
        <v>340</v>
      </c>
      <c r="C116" s="271"/>
      <c r="D116" s="271"/>
      <c r="E116" s="271"/>
      <c r="F116" s="271">
        <v>60</v>
      </c>
      <c r="G116" s="435" t="s">
        <v>333</v>
      </c>
      <c r="S116" s="271"/>
      <c r="T116" s="271"/>
      <c r="U116" s="271"/>
      <c r="W116" s="271"/>
      <c r="X116" s="271"/>
      <c r="Y116" s="271"/>
      <c r="Z116" s="271"/>
      <c r="AA116" s="271"/>
      <c r="AB116" s="271"/>
      <c r="AC116" s="271"/>
      <c r="AD116" s="271"/>
      <c r="AE116" s="271"/>
    </row>
    <row r="117" spans="2:31" s="435" customFormat="1">
      <c r="B117" s="271"/>
      <c r="C117" s="271"/>
      <c r="D117" s="271"/>
      <c r="E117" s="271"/>
      <c r="F117" s="1444">
        <f>SUM(F103:F116)</f>
        <v>910</v>
      </c>
      <c r="S117" s="271"/>
      <c r="T117" s="271"/>
      <c r="U117" s="271"/>
      <c r="W117" s="271"/>
      <c r="X117" s="271"/>
      <c r="Y117" s="271"/>
      <c r="Z117" s="271"/>
      <c r="AA117" s="271"/>
      <c r="AB117" s="271"/>
      <c r="AC117" s="271"/>
      <c r="AD117" s="271"/>
      <c r="AE117" s="271"/>
    </row>
  </sheetData>
  <mergeCells count="25">
    <mergeCell ref="V11:W11"/>
    <mergeCell ref="B13:C13"/>
    <mergeCell ref="D13:E13"/>
    <mergeCell ref="V13:W13"/>
    <mergeCell ref="AC21:AC53"/>
    <mergeCell ref="D54:E54"/>
    <mergeCell ref="V9:Y9"/>
    <mergeCell ref="Z9:AB9"/>
    <mergeCell ref="G10:I10"/>
    <mergeCell ref="J10:L10"/>
    <mergeCell ref="M10:O10"/>
    <mergeCell ref="P10:R10"/>
    <mergeCell ref="V10:W10"/>
    <mergeCell ref="B9:C12"/>
    <mergeCell ref="D9:E12"/>
    <mergeCell ref="F9:F12"/>
    <mergeCell ref="G9:R9"/>
    <mergeCell ref="S9:S11"/>
    <mergeCell ref="T9:T11"/>
    <mergeCell ref="B1:AC1"/>
    <mergeCell ref="B2:AC2"/>
    <mergeCell ref="D4:L4"/>
    <mergeCell ref="D5:L5"/>
    <mergeCell ref="D6:L6"/>
    <mergeCell ref="D7:G7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74"/>
  <sheetViews>
    <sheetView tabSelected="1" topLeftCell="A13" workbookViewId="0">
      <selection activeCell="F22" sqref="F22"/>
    </sheetView>
  </sheetViews>
  <sheetFormatPr defaultRowHeight="12.75"/>
  <cols>
    <col min="1" max="1" width="2.28515625" style="271" customWidth="1"/>
    <col min="2" max="2" width="30.28515625" style="271" customWidth="1"/>
    <col min="3" max="3" width="4.42578125" style="271" customWidth="1"/>
    <col min="4" max="4" width="4" style="271" customWidth="1"/>
    <col min="5" max="5" width="4.28515625" style="271" customWidth="1"/>
    <col min="6" max="6" width="6.42578125" style="271" customWidth="1"/>
    <col min="7" max="8" width="8.140625" style="435" customWidth="1"/>
    <col min="9" max="9" width="7.28515625" style="435" customWidth="1"/>
    <col min="10" max="10" width="8" style="435" customWidth="1"/>
    <col min="11" max="11" width="7.85546875" style="435" customWidth="1"/>
    <col min="12" max="12" width="7.28515625" style="435" customWidth="1"/>
    <col min="13" max="13" width="7.42578125" style="435" customWidth="1"/>
    <col min="14" max="14" width="7.5703125" style="435" customWidth="1"/>
    <col min="15" max="15" width="7.7109375" style="435" customWidth="1"/>
    <col min="16" max="16" width="7.28515625" style="435" customWidth="1"/>
    <col min="17" max="17" width="7.85546875" style="435" customWidth="1"/>
    <col min="18" max="18" width="7.42578125" style="435" customWidth="1"/>
    <col min="19" max="19" width="15.140625" style="271" customWidth="1"/>
    <col min="20" max="20" width="9.42578125" style="271" customWidth="1"/>
    <col min="21" max="21" width="8.7109375" style="271" customWidth="1"/>
    <col min="22" max="22" width="4.7109375" style="435" hidden="1" customWidth="1"/>
    <col min="23" max="23" width="5" style="271" hidden="1" customWidth="1"/>
    <col min="24" max="24" width="9.7109375" style="271" hidden="1" customWidth="1"/>
    <col min="25" max="25" width="8.28515625" style="271" hidden="1" customWidth="1"/>
    <col min="26" max="26" width="14.85546875" style="271" hidden="1" customWidth="1"/>
    <col min="27" max="28" width="11.140625" style="271" hidden="1" customWidth="1"/>
    <col min="29" max="29" width="17.140625" style="271" hidden="1" customWidth="1"/>
    <col min="30" max="30" width="12.42578125" style="271" customWidth="1"/>
    <col min="31" max="31" width="15.28515625" style="271" customWidth="1"/>
    <col min="32" max="256" width="9.140625" style="271"/>
    <col min="257" max="257" width="2.28515625" style="271" customWidth="1"/>
    <col min="258" max="258" width="30.28515625" style="271" customWidth="1"/>
    <col min="259" max="259" width="4.42578125" style="271" customWidth="1"/>
    <col min="260" max="260" width="4" style="271" customWidth="1"/>
    <col min="261" max="261" width="4.28515625" style="271" customWidth="1"/>
    <col min="262" max="262" width="6.42578125" style="271" customWidth="1"/>
    <col min="263" max="264" width="8.140625" style="271" customWidth="1"/>
    <col min="265" max="265" width="7.28515625" style="271" customWidth="1"/>
    <col min="266" max="266" width="8" style="271" customWidth="1"/>
    <col min="267" max="267" width="7.85546875" style="271" customWidth="1"/>
    <col min="268" max="268" width="7.28515625" style="271" customWidth="1"/>
    <col min="269" max="269" width="7.42578125" style="271" customWidth="1"/>
    <col min="270" max="270" width="7.5703125" style="271" customWidth="1"/>
    <col min="271" max="271" width="7.7109375" style="271" customWidth="1"/>
    <col min="272" max="272" width="7.28515625" style="271" customWidth="1"/>
    <col min="273" max="273" width="7.85546875" style="271" customWidth="1"/>
    <col min="274" max="274" width="7.42578125" style="271" customWidth="1"/>
    <col min="275" max="275" width="15.140625" style="271" customWidth="1"/>
    <col min="276" max="276" width="9.42578125" style="271" customWidth="1"/>
    <col min="277" max="277" width="8.7109375" style="271" customWidth="1"/>
    <col min="278" max="285" width="0" style="271" hidden="1" customWidth="1"/>
    <col min="286" max="286" width="12.42578125" style="271" customWidth="1"/>
    <col min="287" max="287" width="15.28515625" style="271" customWidth="1"/>
    <col min="288" max="512" width="9.140625" style="271"/>
    <col min="513" max="513" width="2.28515625" style="271" customWidth="1"/>
    <col min="514" max="514" width="30.28515625" style="271" customWidth="1"/>
    <col min="515" max="515" width="4.42578125" style="271" customWidth="1"/>
    <col min="516" max="516" width="4" style="271" customWidth="1"/>
    <col min="517" max="517" width="4.28515625" style="271" customWidth="1"/>
    <col min="518" max="518" width="6.42578125" style="271" customWidth="1"/>
    <col min="519" max="520" width="8.140625" style="271" customWidth="1"/>
    <col min="521" max="521" width="7.28515625" style="271" customWidth="1"/>
    <col min="522" max="522" width="8" style="271" customWidth="1"/>
    <col min="523" max="523" width="7.85546875" style="271" customWidth="1"/>
    <col min="524" max="524" width="7.28515625" style="271" customWidth="1"/>
    <col min="525" max="525" width="7.42578125" style="271" customWidth="1"/>
    <col min="526" max="526" width="7.5703125" style="271" customWidth="1"/>
    <col min="527" max="527" width="7.7109375" style="271" customWidth="1"/>
    <col min="528" max="528" width="7.28515625" style="271" customWidth="1"/>
    <col min="529" max="529" width="7.85546875" style="271" customWidth="1"/>
    <col min="530" max="530" width="7.42578125" style="271" customWidth="1"/>
    <col min="531" max="531" width="15.140625" style="271" customWidth="1"/>
    <col min="532" max="532" width="9.42578125" style="271" customWidth="1"/>
    <col min="533" max="533" width="8.7109375" style="271" customWidth="1"/>
    <col min="534" max="541" width="0" style="271" hidden="1" customWidth="1"/>
    <col min="542" max="542" width="12.42578125" style="271" customWidth="1"/>
    <col min="543" max="543" width="15.28515625" style="271" customWidth="1"/>
    <col min="544" max="768" width="9.140625" style="271"/>
    <col min="769" max="769" width="2.28515625" style="271" customWidth="1"/>
    <col min="770" max="770" width="30.28515625" style="271" customWidth="1"/>
    <col min="771" max="771" width="4.42578125" style="271" customWidth="1"/>
    <col min="772" max="772" width="4" style="271" customWidth="1"/>
    <col min="773" max="773" width="4.28515625" style="271" customWidth="1"/>
    <col min="774" max="774" width="6.42578125" style="271" customWidth="1"/>
    <col min="775" max="776" width="8.140625" style="271" customWidth="1"/>
    <col min="777" max="777" width="7.28515625" style="271" customWidth="1"/>
    <col min="778" max="778" width="8" style="271" customWidth="1"/>
    <col min="779" max="779" width="7.85546875" style="271" customWidth="1"/>
    <col min="780" max="780" width="7.28515625" style="271" customWidth="1"/>
    <col min="781" max="781" width="7.42578125" style="271" customWidth="1"/>
    <col min="782" max="782" width="7.5703125" style="271" customWidth="1"/>
    <col min="783" max="783" width="7.7109375" style="271" customWidth="1"/>
    <col min="784" max="784" width="7.28515625" style="271" customWidth="1"/>
    <col min="785" max="785" width="7.85546875" style="271" customWidth="1"/>
    <col min="786" max="786" width="7.42578125" style="271" customWidth="1"/>
    <col min="787" max="787" width="15.140625" style="271" customWidth="1"/>
    <col min="788" max="788" width="9.42578125" style="271" customWidth="1"/>
    <col min="789" max="789" width="8.7109375" style="271" customWidth="1"/>
    <col min="790" max="797" width="0" style="271" hidden="1" customWidth="1"/>
    <col min="798" max="798" width="12.42578125" style="271" customWidth="1"/>
    <col min="799" max="799" width="15.28515625" style="271" customWidth="1"/>
    <col min="800" max="1024" width="9.140625" style="271"/>
    <col min="1025" max="1025" width="2.28515625" style="271" customWidth="1"/>
    <col min="1026" max="1026" width="30.28515625" style="271" customWidth="1"/>
    <col min="1027" max="1027" width="4.42578125" style="271" customWidth="1"/>
    <col min="1028" max="1028" width="4" style="271" customWidth="1"/>
    <col min="1029" max="1029" width="4.28515625" style="271" customWidth="1"/>
    <col min="1030" max="1030" width="6.42578125" style="271" customWidth="1"/>
    <col min="1031" max="1032" width="8.140625" style="271" customWidth="1"/>
    <col min="1033" max="1033" width="7.28515625" style="271" customWidth="1"/>
    <col min="1034" max="1034" width="8" style="271" customWidth="1"/>
    <col min="1035" max="1035" width="7.85546875" style="271" customWidth="1"/>
    <col min="1036" max="1036" width="7.28515625" style="271" customWidth="1"/>
    <col min="1037" max="1037" width="7.42578125" style="271" customWidth="1"/>
    <col min="1038" max="1038" width="7.5703125" style="271" customWidth="1"/>
    <col min="1039" max="1039" width="7.7109375" style="271" customWidth="1"/>
    <col min="1040" max="1040" width="7.28515625" style="271" customWidth="1"/>
    <col min="1041" max="1041" width="7.85546875" style="271" customWidth="1"/>
    <col min="1042" max="1042" width="7.42578125" style="271" customWidth="1"/>
    <col min="1043" max="1043" width="15.140625" style="271" customWidth="1"/>
    <col min="1044" max="1044" width="9.42578125" style="271" customWidth="1"/>
    <col min="1045" max="1045" width="8.7109375" style="271" customWidth="1"/>
    <col min="1046" max="1053" width="0" style="271" hidden="1" customWidth="1"/>
    <col min="1054" max="1054" width="12.42578125" style="271" customWidth="1"/>
    <col min="1055" max="1055" width="15.28515625" style="271" customWidth="1"/>
    <col min="1056" max="1280" width="9.140625" style="271"/>
    <col min="1281" max="1281" width="2.28515625" style="271" customWidth="1"/>
    <col min="1282" max="1282" width="30.28515625" style="271" customWidth="1"/>
    <col min="1283" max="1283" width="4.42578125" style="271" customWidth="1"/>
    <col min="1284" max="1284" width="4" style="271" customWidth="1"/>
    <col min="1285" max="1285" width="4.28515625" style="271" customWidth="1"/>
    <col min="1286" max="1286" width="6.42578125" style="271" customWidth="1"/>
    <col min="1287" max="1288" width="8.140625" style="271" customWidth="1"/>
    <col min="1289" max="1289" width="7.28515625" style="271" customWidth="1"/>
    <col min="1290" max="1290" width="8" style="271" customWidth="1"/>
    <col min="1291" max="1291" width="7.85546875" style="271" customWidth="1"/>
    <col min="1292" max="1292" width="7.28515625" style="271" customWidth="1"/>
    <col min="1293" max="1293" width="7.42578125" style="271" customWidth="1"/>
    <col min="1294" max="1294" width="7.5703125" style="271" customWidth="1"/>
    <col min="1295" max="1295" width="7.7109375" style="271" customWidth="1"/>
    <col min="1296" max="1296" width="7.28515625" style="271" customWidth="1"/>
    <col min="1297" max="1297" width="7.85546875" style="271" customWidth="1"/>
    <col min="1298" max="1298" width="7.42578125" style="271" customWidth="1"/>
    <col min="1299" max="1299" width="15.140625" style="271" customWidth="1"/>
    <col min="1300" max="1300" width="9.42578125" style="271" customWidth="1"/>
    <col min="1301" max="1301" width="8.7109375" style="271" customWidth="1"/>
    <col min="1302" max="1309" width="0" style="271" hidden="1" customWidth="1"/>
    <col min="1310" max="1310" width="12.42578125" style="271" customWidth="1"/>
    <col min="1311" max="1311" width="15.28515625" style="271" customWidth="1"/>
    <col min="1312" max="1536" width="9.140625" style="271"/>
    <col min="1537" max="1537" width="2.28515625" style="271" customWidth="1"/>
    <col min="1538" max="1538" width="30.28515625" style="271" customWidth="1"/>
    <col min="1539" max="1539" width="4.42578125" style="271" customWidth="1"/>
    <col min="1540" max="1540" width="4" style="271" customWidth="1"/>
    <col min="1541" max="1541" width="4.28515625" style="271" customWidth="1"/>
    <col min="1542" max="1542" width="6.42578125" style="271" customWidth="1"/>
    <col min="1543" max="1544" width="8.140625" style="271" customWidth="1"/>
    <col min="1545" max="1545" width="7.28515625" style="271" customWidth="1"/>
    <col min="1546" max="1546" width="8" style="271" customWidth="1"/>
    <col min="1547" max="1547" width="7.85546875" style="271" customWidth="1"/>
    <col min="1548" max="1548" width="7.28515625" style="271" customWidth="1"/>
    <col min="1549" max="1549" width="7.42578125" style="271" customWidth="1"/>
    <col min="1550" max="1550" width="7.5703125" style="271" customWidth="1"/>
    <col min="1551" max="1551" width="7.7109375" style="271" customWidth="1"/>
    <col min="1552" max="1552" width="7.28515625" style="271" customWidth="1"/>
    <col min="1553" max="1553" width="7.85546875" style="271" customWidth="1"/>
    <col min="1554" max="1554" width="7.42578125" style="271" customWidth="1"/>
    <col min="1555" max="1555" width="15.140625" style="271" customWidth="1"/>
    <col min="1556" max="1556" width="9.42578125" style="271" customWidth="1"/>
    <col min="1557" max="1557" width="8.7109375" style="271" customWidth="1"/>
    <col min="1558" max="1565" width="0" style="271" hidden="1" customWidth="1"/>
    <col min="1566" max="1566" width="12.42578125" style="271" customWidth="1"/>
    <col min="1567" max="1567" width="15.28515625" style="271" customWidth="1"/>
    <col min="1568" max="1792" width="9.140625" style="271"/>
    <col min="1793" max="1793" width="2.28515625" style="271" customWidth="1"/>
    <col min="1794" max="1794" width="30.28515625" style="271" customWidth="1"/>
    <col min="1795" max="1795" width="4.42578125" style="271" customWidth="1"/>
    <col min="1796" max="1796" width="4" style="271" customWidth="1"/>
    <col min="1797" max="1797" width="4.28515625" style="271" customWidth="1"/>
    <col min="1798" max="1798" width="6.42578125" style="271" customWidth="1"/>
    <col min="1799" max="1800" width="8.140625" style="271" customWidth="1"/>
    <col min="1801" max="1801" width="7.28515625" style="271" customWidth="1"/>
    <col min="1802" max="1802" width="8" style="271" customWidth="1"/>
    <col min="1803" max="1803" width="7.85546875" style="271" customWidth="1"/>
    <col min="1804" max="1804" width="7.28515625" style="271" customWidth="1"/>
    <col min="1805" max="1805" width="7.42578125" style="271" customWidth="1"/>
    <col min="1806" max="1806" width="7.5703125" style="271" customWidth="1"/>
    <col min="1807" max="1807" width="7.7109375" style="271" customWidth="1"/>
    <col min="1808" max="1808" width="7.28515625" style="271" customWidth="1"/>
    <col min="1809" max="1809" width="7.85546875" style="271" customWidth="1"/>
    <col min="1810" max="1810" width="7.42578125" style="271" customWidth="1"/>
    <col min="1811" max="1811" width="15.140625" style="271" customWidth="1"/>
    <col min="1812" max="1812" width="9.42578125" style="271" customWidth="1"/>
    <col min="1813" max="1813" width="8.7109375" style="271" customWidth="1"/>
    <col min="1814" max="1821" width="0" style="271" hidden="1" customWidth="1"/>
    <col min="1822" max="1822" width="12.42578125" style="271" customWidth="1"/>
    <col min="1823" max="1823" width="15.28515625" style="271" customWidth="1"/>
    <col min="1824" max="2048" width="9.140625" style="271"/>
    <col min="2049" max="2049" width="2.28515625" style="271" customWidth="1"/>
    <col min="2050" max="2050" width="30.28515625" style="271" customWidth="1"/>
    <col min="2051" max="2051" width="4.42578125" style="271" customWidth="1"/>
    <col min="2052" max="2052" width="4" style="271" customWidth="1"/>
    <col min="2053" max="2053" width="4.28515625" style="271" customWidth="1"/>
    <col min="2054" max="2054" width="6.42578125" style="271" customWidth="1"/>
    <col min="2055" max="2056" width="8.140625" style="271" customWidth="1"/>
    <col min="2057" max="2057" width="7.28515625" style="271" customWidth="1"/>
    <col min="2058" max="2058" width="8" style="271" customWidth="1"/>
    <col min="2059" max="2059" width="7.85546875" style="271" customWidth="1"/>
    <col min="2060" max="2060" width="7.28515625" style="271" customWidth="1"/>
    <col min="2061" max="2061" width="7.42578125" style="271" customWidth="1"/>
    <col min="2062" max="2062" width="7.5703125" style="271" customWidth="1"/>
    <col min="2063" max="2063" width="7.7109375" style="271" customWidth="1"/>
    <col min="2064" max="2064" width="7.28515625" style="271" customWidth="1"/>
    <col min="2065" max="2065" width="7.85546875" style="271" customWidth="1"/>
    <col min="2066" max="2066" width="7.42578125" style="271" customWidth="1"/>
    <col min="2067" max="2067" width="15.140625" style="271" customWidth="1"/>
    <col min="2068" max="2068" width="9.42578125" style="271" customWidth="1"/>
    <col min="2069" max="2069" width="8.7109375" style="271" customWidth="1"/>
    <col min="2070" max="2077" width="0" style="271" hidden="1" customWidth="1"/>
    <col min="2078" max="2078" width="12.42578125" style="271" customWidth="1"/>
    <col min="2079" max="2079" width="15.28515625" style="271" customWidth="1"/>
    <col min="2080" max="2304" width="9.140625" style="271"/>
    <col min="2305" max="2305" width="2.28515625" style="271" customWidth="1"/>
    <col min="2306" max="2306" width="30.28515625" style="271" customWidth="1"/>
    <col min="2307" max="2307" width="4.42578125" style="271" customWidth="1"/>
    <col min="2308" max="2308" width="4" style="271" customWidth="1"/>
    <col min="2309" max="2309" width="4.28515625" style="271" customWidth="1"/>
    <col min="2310" max="2310" width="6.42578125" style="271" customWidth="1"/>
    <col min="2311" max="2312" width="8.140625" style="271" customWidth="1"/>
    <col min="2313" max="2313" width="7.28515625" style="271" customWidth="1"/>
    <col min="2314" max="2314" width="8" style="271" customWidth="1"/>
    <col min="2315" max="2315" width="7.85546875" style="271" customWidth="1"/>
    <col min="2316" max="2316" width="7.28515625" style="271" customWidth="1"/>
    <col min="2317" max="2317" width="7.42578125" style="271" customWidth="1"/>
    <col min="2318" max="2318" width="7.5703125" style="271" customWidth="1"/>
    <col min="2319" max="2319" width="7.7109375" style="271" customWidth="1"/>
    <col min="2320" max="2320" width="7.28515625" style="271" customWidth="1"/>
    <col min="2321" max="2321" width="7.85546875" style="271" customWidth="1"/>
    <col min="2322" max="2322" width="7.42578125" style="271" customWidth="1"/>
    <col min="2323" max="2323" width="15.140625" style="271" customWidth="1"/>
    <col min="2324" max="2324" width="9.42578125" style="271" customWidth="1"/>
    <col min="2325" max="2325" width="8.7109375" style="271" customWidth="1"/>
    <col min="2326" max="2333" width="0" style="271" hidden="1" customWidth="1"/>
    <col min="2334" max="2334" width="12.42578125" style="271" customWidth="1"/>
    <col min="2335" max="2335" width="15.28515625" style="271" customWidth="1"/>
    <col min="2336" max="2560" width="9.140625" style="271"/>
    <col min="2561" max="2561" width="2.28515625" style="271" customWidth="1"/>
    <col min="2562" max="2562" width="30.28515625" style="271" customWidth="1"/>
    <col min="2563" max="2563" width="4.42578125" style="271" customWidth="1"/>
    <col min="2564" max="2564" width="4" style="271" customWidth="1"/>
    <col min="2565" max="2565" width="4.28515625" style="271" customWidth="1"/>
    <col min="2566" max="2566" width="6.42578125" style="271" customWidth="1"/>
    <col min="2567" max="2568" width="8.140625" style="271" customWidth="1"/>
    <col min="2569" max="2569" width="7.28515625" style="271" customWidth="1"/>
    <col min="2570" max="2570" width="8" style="271" customWidth="1"/>
    <col min="2571" max="2571" width="7.85546875" style="271" customWidth="1"/>
    <col min="2572" max="2572" width="7.28515625" style="271" customWidth="1"/>
    <col min="2573" max="2573" width="7.42578125" style="271" customWidth="1"/>
    <col min="2574" max="2574" width="7.5703125" style="271" customWidth="1"/>
    <col min="2575" max="2575" width="7.7109375" style="271" customWidth="1"/>
    <col min="2576" max="2576" width="7.28515625" style="271" customWidth="1"/>
    <col min="2577" max="2577" width="7.85546875" style="271" customWidth="1"/>
    <col min="2578" max="2578" width="7.42578125" style="271" customWidth="1"/>
    <col min="2579" max="2579" width="15.140625" style="271" customWidth="1"/>
    <col min="2580" max="2580" width="9.42578125" style="271" customWidth="1"/>
    <col min="2581" max="2581" width="8.7109375" style="271" customWidth="1"/>
    <col min="2582" max="2589" width="0" style="271" hidden="1" customWidth="1"/>
    <col min="2590" max="2590" width="12.42578125" style="271" customWidth="1"/>
    <col min="2591" max="2591" width="15.28515625" style="271" customWidth="1"/>
    <col min="2592" max="2816" width="9.140625" style="271"/>
    <col min="2817" max="2817" width="2.28515625" style="271" customWidth="1"/>
    <col min="2818" max="2818" width="30.28515625" style="271" customWidth="1"/>
    <col min="2819" max="2819" width="4.42578125" style="271" customWidth="1"/>
    <col min="2820" max="2820" width="4" style="271" customWidth="1"/>
    <col min="2821" max="2821" width="4.28515625" style="271" customWidth="1"/>
    <col min="2822" max="2822" width="6.42578125" style="271" customWidth="1"/>
    <col min="2823" max="2824" width="8.140625" style="271" customWidth="1"/>
    <col min="2825" max="2825" width="7.28515625" style="271" customWidth="1"/>
    <col min="2826" max="2826" width="8" style="271" customWidth="1"/>
    <col min="2827" max="2827" width="7.85546875" style="271" customWidth="1"/>
    <col min="2828" max="2828" width="7.28515625" style="271" customWidth="1"/>
    <col min="2829" max="2829" width="7.42578125" style="271" customWidth="1"/>
    <col min="2830" max="2830" width="7.5703125" style="271" customWidth="1"/>
    <col min="2831" max="2831" width="7.7109375" style="271" customWidth="1"/>
    <col min="2832" max="2832" width="7.28515625" style="271" customWidth="1"/>
    <col min="2833" max="2833" width="7.85546875" style="271" customWidth="1"/>
    <col min="2834" max="2834" width="7.42578125" style="271" customWidth="1"/>
    <col min="2835" max="2835" width="15.140625" style="271" customWidth="1"/>
    <col min="2836" max="2836" width="9.42578125" style="271" customWidth="1"/>
    <col min="2837" max="2837" width="8.7109375" style="271" customWidth="1"/>
    <col min="2838" max="2845" width="0" style="271" hidden="1" customWidth="1"/>
    <col min="2846" max="2846" width="12.42578125" style="271" customWidth="1"/>
    <col min="2847" max="2847" width="15.28515625" style="271" customWidth="1"/>
    <col min="2848" max="3072" width="9.140625" style="271"/>
    <col min="3073" max="3073" width="2.28515625" style="271" customWidth="1"/>
    <col min="3074" max="3074" width="30.28515625" style="271" customWidth="1"/>
    <col min="3075" max="3075" width="4.42578125" style="271" customWidth="1"/>
    <col min="3076" max="3076" width="4" style="271" customWidth="1"/>
    <col min="3077" max="3077" width="4.28515625" style="271" customWidth="1"/>
    <col min="3078" max="3078" width="6.42578125" style="271" customWidth="1"/>
    <col min="3079" max="3080" width="8.140625" style="271" customWidth="1"/>
    <col min="3081" max="3081" width="7.28515625" style="271" customWidth="1"/>
    <col min="3082" max="3082" width="8" style="271" customWidth="1"/>
    <col min="3083" max="3083" width="7.85546875" style="271" customWidth="1"/>
    <col min="3084" max="3084" width="7.28515625" style="271" customWidth="1"/>
    <col min="3085" max="3085" width="7.42578125" style="271" customWidth="1"/>
    <col min="3086" max="3086" width="7.5703125" style="271" customWidth="1"/>
    <col min="3087" max="3087" width="7.7109375" style="271" customWidth="1"/>
    <col min="3088" max="3088" width="7.28515625" style="271" customWidth="1"/>
    <col min="3089" max="3089" width="7.85546875" style="271" customWidth="1"/>
    <col min="3090" max="3090" width="7.42578125" style="271" customWidth="1"/>
    <col min="3091" max="3091" width="15.140625" style="271" customWidth="1"/>
    <col min="3092" max="3092" width="9.42578125" style="271" customWidth="1"/>
    <col min="3093" max="3093" width="8.7109375" style="271" customWidth="1"/>
    <col min="3094" max="3101" width="0" style="271" hidden="1" customWidth="1"/>
    <col min="3102" max="3102" width="12.42578125" style="271" customWidth="1"/>
    <col min="3103" max="3103" width="15.28515625" style="271" customWidth="1"/>
    <col min="3104" max="3328" width="9.140625" style="271"/>
    <col min="3329" max="3329" width="2.28515625" style="271" customWidth="1"/>
    <col min="3330" max="3330" width="30.28515625" style="271" customWidth="1"/>
    <col min="3331" max="3331" width="4.42578125" style="271" customWidth="1"/>
    <col min="3332" max="3332" width="4" style="271" customWidth="1"/>
    <col min="3333" max="3333" width="4.28515625" style="271" customWidth="1"/>
    <col min="3334" max="3334" width="6.42578125" style="271" customWidth="1"/>
    <col min="3335" max="3336" width="8.140625" style="271" customWidth="1"/>
    <col min="3337" max="3337" width="7.28515625" style="271" customWidth="1"/>
    <col min="3338" max="3338" width="8" style="271" customWidth="1"/>
    <col min="3339" max="3339" width="7.85546875" style="271" customWidth="1"/>
    <col min="3340" max="3340" width="7.28515625" style="271" customWidth="1"/>
    <col min="3341" max="3341" width="7.42578125" style="271" customWidth="1"/>
    <col min="3342" max="3342" width="7.5703125" style="271" customWidth="1"/>
    <col min="3343" max="3343" width="7.7109375" style="271" customWidth="1"/>
    <col min="3344" max="3344" width="7.28515625" style="271" customWidth="1"/>
    <col min="3345" max="3345" width="7.85546875" style="271" customWidth="1"/>
    <col min="3346" max="3346" width="7.42578125" style="271" customWidth="1"/>
    <col min="3347" max="3347" width="15.140625" style="271" customWidth="1"/>
    <col min="3348" max="3348" width="9.42578125" style="271" customWidth="1"/>
    <col min="3349" max="3349" width="8.7109375" style="271" customWidth="1"/>
    <col min="3350" max="3357" width="0" style="271" hidden="1" customWidth="1"/>
    <col min="3358" max="3358" width="12.42578125" style="271" customWidth="1"/>
    <col min="3359" max="3359" width="15.28515625" style="271" customWidth="1"/>
    <col min="3360" max="3584" width="9.140625" style="271"/>
    <col min="3585" max="3585" width="2.28515625" style="271" customWidth="1"/>
    <col min="3586" max="3586" width="30.28515625" style="271" customWidth="1"/>
    <col min="3587" max="3587" width="4.42578125" style="271" customWidth="1"/>
    <col min="3588" max="3588" width="4" style="271" customWidth="1"/>
    <col min="3589" max="3589" width="4.28515625" style="271" customWidth="1"/>
    <col min="3590" max="3590" width="6.42578125" style="271" customWidth="1"/>
    <col min="3591" max="3592" width="8.140625" style="271" customWidth="1"/>
    <col min="3593" max="3593" width="7.28515625" style="271" customWidth="1"/>
    <col min="3594" max="3594" width="8" style="271" customWidth="1"/>
    <col min="3595" max="3595" width="7.85546875" style="271" customWidth="1"/>
    <col min="3596" max="3596" width="7.28515625" style="271" customWidth="1"/>
    <col min="3597" max="3597" width="7.42578125" style="271" customWidth="1"/>
    <col min="3598" max="3598" width="7.5703125" style="271" customWidth="1"/>
    <col min="3599" max="3599" width="7.7109375" style="271" customWidth="1"/>
    <col min="3600" max="3600" width="7.28515625" style="271" customWidth="1"/>
    <col min="3601" max="3601" width="7.85546875" style="271" customWidth="1"/>
    <col min="3602" max="3602" width="7.42578125" style="271" customWidth="1"/>
    <col min="3603" max="3603" width="15.140625" style="271" customWidth="1"/>
    <col min="3604" max="3604" width="9.42578125" style="271" customWidth="1"/>
    <col min="3605" max="3605" width="8.7109375" style="271" customWidth="1"/>
    <col min="3606" max="3613" width="0" style="271" hidden="1" customWidth="1"/>
    <col min="3614" max="3614" width="12.42578125" style="271" customWidth="1"/>
    <col min="3615" max="3615" width="15.28515625" style="271" customWidth="1"/>
    <col min="3616" max="3840" width="9.140625" style="271"/>
    <col min="3841" max="3841" width="2.28515625" style="271" customWidth="1"/>
    <col min="3842" max="3842" width="30.28515625" style="271" customWidth="1"/>
    <col min="3843" max="3843" width="4.42578125" style="271" customWidth="1"/>
    <col min="3844" max="3844" width="4" style="271" customWidth="1"/>
    <col min="3845" max="3845" width="4.28515625" style="271" customWidth="1"/>
    <col min="3846" max="3846" width="6.42578125" style="271" customWidth="1"/>
    <col min="3847" max="3848" width="8.140625" style="271" customWidth="1"/>
    <col min="3849" max="3849" width="7.28515625" style="271" customWidth="1"/>
    <col min="3850" max="3850" width="8" style="271" customWidth="1"/>
    <col min="3851" max="3851" width="7.85546875" style="271" customWidth="1"/>
    <col min="3852" max="3852" width="7.28515625" style="271" customWidth="1"/>
    <col min="3853" max="3853" width="7.42578125" style="271" customWidth="1"/>
    <col min="3854" max="3854" width="7.5703125" style="271" customWidth="1"/>
    <col min="3855" max="3855" width="7.7109375" style="271" customWidth="1"/>
    <col min="3856" max="3856" width="7.28515625" style="271" customWidth="1"/>
    <col min="3857" max="3857" width="7.85546875" style="271" customWidth="1"/>
    <col min="3858" max="3858" width="7.42578125" style="271" customWidth="1"/>
    <col min="3859" max="3859" width="15.140625" style="271" customWidth="1"/>
    <col min="3860" max="3860" width="9.42578125" style="271" customWidth="1"/>
    <col min="3861" max="3861" width="8.7109375" style="271" customWidth="1"/>
    <col min="3862" max="3869" width="0" style="271" hidden="1" customWidth="1"/>
    <col min="3870" max="3870" width="12.42578125" style="271" customWidth="1"/>
    <col min="3871" max="3871" width="15.28515625" style="271" customWidth="1"/>
    <col min="3872" max="4096" width="9.140625" style="271"/>
    <col min="4097" max="4097" width="2.28515625" style="271" customWidth="1"/>
    <col min="4098" max="4098" width="30.28515625" style="271" customWidth="1"/>
    <col min="4099" max="4099" width="4.42578125" style="271" customWidth="1"/>
    <col min="4100" max="4100" width="4" style="271" customWidth="1"/>
    <col min="4101" max="4101" width="4.28515625" style="271" customWidth="1"/>
    <col min="4102" max="4102" width="6.42578125" style="271" customWidth="1"/>
    <col min="4103" max="4104" width="8.140625" style="271" customWidth="1"/>
    <col min="4105" max="4105" width="7.28515625" style="271" customWidth="1"/>
    <col min="4106" max="4106" width="8" style="271" customWidth="1"/>
    <col min="4107" max="4107" width="7.85546875" style="271" customWidth="1"/>
    <col min="4108" max="4108" width="7.28515625" style="271" customWidth="1"/>
    <col min="4109" max="4109" width="7.42578125" style="271" customWidth="1"/>
    <col min="4110" max="4110" width="7.5703125" style="271" customWidth="1"/>
    <col min="4111" max="4111" width="7.7109375" style="271" customWidth="1"/>
    <col min="4112" max="4112" width="7.28515625" style="271" customWidth="1"/>
    <col min="4113" max="4113" width="7.85546875" style="271" customWidth="1"/>
    <col min="4114" max="4114" width="7.42578125" style="271" customWidth="1"/>
    <col min="4115" max="4115" width="15.140625" style="271" customWidth="1"/>
    <col min="4116" max="4116" width="9.42578125" style="271" customWidth="1"/>
    <col min="4117" max="4117" width="8.7109375" style="271" customWidth="1"/>
    <col min="4118" max="4125" width="0" style="271" hidden="1" customWidth="1"/>
    <col min="4126" max="4126" width="12.42578125" style="271" customWidth="1"/>
    <col min="4127" max="4127" width="15.28515625" style="271" customWidth="1"/>
    <col min="4128" max="4352" width="9.140625" style="271"/>
    <col min="4353" max="4353" width="2.28515625" style="271" customWidth="1"/>
    <col min="4354" max="4354" width="30.28515625" style="271" customWidth="1"/>
    <col min="4355" max="4355" width="4.42578125" style="271" customWidth="1"/>
    <col min="4356" max="4356" width="4" style="271" customWidth="1"/>
    <col min="4357" max="4357" width="4.28515625" style="271" customWidth="1"/>
    <col min="4358" max="4358" width="6.42578125" style="271" customWidth="1"/>
    <col min="4359" max="4360" width="8.140625" style="271" customWidth="1"/>
    <col min="4361" max="4361" width="7.28515625" style="271" customWidth="1"/>
    <col min="4362" max="4362" width="8" style="271" customWidth="1"/>
    <col min="4363" max="4363" width="7.85546875" style="271" customWidth="1"/>
    <col min="4364" max="4364" width="7.28515625" style="271" customWidth="1"/>
    <col min="4365" max="4365" width="7.42578125" style="271" customWidth="1"/>
    <col min="4366" max="4366" width="7.5703125" style="271" customWidth="1"/>
    <col min="4367" max="4367" width="7.7109375" style="271" customWidth="1"/>
    <col min="4368" max="4368" width="7.28515625" style="271" customWidth="1"/>
    <col min="4369" max="4369" width="7.85546875" style="271" customWidth="1"/>
    <col min="4370" max="4370" width="7.42578125" style="271" customWidth="1"/>
    <col min="4371" max="4371" width="15.140625" style="271" customWidth="1"/>
    <col min="4372" max="4372" width="9.42578125" style="271" customWidth="1"/>
    <col min="4373" max="4373" width="8.7109375" style="271" customWidth="1"/>
    <col min="4374" max="4381" width="0" style="271" hidden="1" customWidth="1"/>
    <col min="4382" max="4382" width="12.42578125" style="271" customWidth="1"/>
    <col min="4383" max="4383" width="15.28515625" style="271" customWidth="1"/>
    <col min="4384" max="4608" width="9.140625" style="271"/>
    <col min="4609" max="4609" width="2.28515625" style="271" customWidth="1"/>
    <col min="4610" max="4610" width="30.28515625" style="271" customWidth="1"/>
    <col min="4611" max="4611" width="4.42578125" style="271" customWidth="1"/>
    <col min="4612" max="4612" width="4" style="271" customWidth="1"/>
    <col min="4613" max="4613" width="4.28515625" style="271" customWidth="1"/>
    <col min="4614" max="4614" width="6.42578125" style="271" customWidth="1"/>
    <col min="4615" max="4616" width="8.140625" style="271" customWidth="1"/>
    <col min="4617" max="4617" width="7.28515625" style="271" customWidth="1"/>
    <col min="4618" max="4618" width="8" style="271" customWidth="1"/>
    <col min="4619" max="4619" width="7.85546875" style="271" customWidth="1"/>
    <col min="4620" max="4620" width="7.28515625" style="271" customWidth="1"/>
    <col min="4621" max="4621" width="7.42578125" style="271" customWidth="1"/>
    <col min="4622" max="4622" width="7.5703125" style="271" customWidth="1"/>
    <col min="4623" max="4623" width="7.7109375" style="271" customWidth="1"/>
    <col min="4624" max="4624" width="7.28515625" style="271" customWidth="1"/>
    <col min="4625" max="4625" width="7.85546875" style="271" customWidth="1"/>
    <col min="4626" max="4626" width="7.42578125" style="271" customWidth="1"/>
    <col min="4627" max="4627" width="15.140625" style="271" customWidth="1"/>
    <col min="4628" max="4628" width="9.42578125" style="271" customWidth="1"/>
    <col min="4629" max="4629" width="8.7109375" style="271" customWidth="1"/>
    <col min="4630" max="4637" width="0" style="271" hidden="1" customWidth="1"/>
    <col min="4638" max="4638" width="12.42578125" style="271" customWidth="1"/>
    <col min="4639" max="4639" width="15.28515625" style="271" customWidth="1"/>
    <col min="4640" max="4864" width="9.140625" style="271"/>
    <col min="4865" max="4865" width="2.28515625" style="271" customWidth="1"/>
    <col min="4866" max="4866" width="30.28515625" style="271" customWidth="1"/>
    <col min="4867" max="4867" width="4.42578125" style="271" customWidth="1"/>
    <col min="4868" max="4868" width="4" style="271" customWidth="1"/>
    <col min="4869" max="4869" width="4.28515625" style="271" customWidth="1"/>
    <col min="4870" max="4870" width="6.42578125" style="271" customWidth="1"/>
    <col min="4871" max="4872" width="8.140625" style="271" customWidth="1"/>
    <col min="4873" max="4873" width="7.28515625" style="271" customWidth="1"/>
    <col min="4874" max="4874" width="8" style="271" customWidth="1"/>
    <col min="4875" max="4875" width="7.85546875" style="271" customWidth="1"/>
    <col min="4876" max="4876" width="7.28515625" style="271" customWidth="1"/>
    <col min="4877" max="4877" width="7.42578125" style="271" customWidth="1"/>
    <col min="4878" max="4878" width="7.5703125" style="271" customWidth="1"/>
    <col min="4879" max="4879" width="7.7109375" style="271" customWidth="1"/>
    <col min="4880" max="4880" width="7.28515625" style="271" customWidth="1"/>
    <col min="4881" max="4881" width="7.85546875" style="271" customWidth="1"/>
    <col min="4882" max="4882" width="7.42578125" style="271" customWidth="1"/>
    <col min="4883" max="4883" width="15.140625" style="271" customWidth="1"/>
    <col min="4884" max="4884" width="9.42578125" style="271" customWidth="1"/>
    <col min="4885" max="4885" width="8.7109375" style="271" customWidth="1"/>
    <col min="4886" max="4893" width="0" style="271" hidden="1" customWidth="1"/>
    <col min="4894" max="4894" width="12.42578125" style="271" customWidth="1"/>
    <col min="4895" max="4895" width="15.28515625" style="271" customWidth="1"/>
    <col min="4896" max="5120" width="9.140625" style="271"/>
    <col min="5121" max="5121" width="2.28515625" style="271" customWidth="1"/>
    <col min="5122" max="5122" width="30.28515625" style="271" customWidth="1"/>
    <col min="5123" max="5123" width="4.42578125" style="271" customWidth="1"/>
    <col min="5124" max="5124" width="4" style="271" customWidth="1"/>
    <col min="5125" max="5125" width="4.28515625" style="271" customWidth="1"/>
    <col min="5126" max="5126" width="6.42578125" style="271" customWidth="1"/>
    <col min="5127" max="5128" width="8.140625" style="271" customWidth="1"/>
    <col min="5129" max="5129" width="7.28515625" style="271" customWidth="1"/>
    <col min="5130" max="5130" width="8" style="271" customWidth="1"/>
    <col min="5131" max="5131" width="7.85546875" style="271" customWidth="1"/>
    <col min="5132" max="5132" width="7.28515625" style="271" customWidth="1"/>
    <col min="5133" max="5133" width="7.42578125" style="271" customWidth="1"/>
    <col min="5134" max="5134" width="7.5703125" style="271" customWidth="1"/>
    <col min="5135" max="5135" width="7.7109375" style="271" customWidth="1"/>
    <col min="5136" max="5136" width="7.28515625" style="271" customWidth="1"/>
    <col min="5137" max="5137" width="7.85546875" style="271" customWidth="1"/>
    <col min="5138" max="5138" width="7.42578125" style="271" customWidth="1"/>
    <col min="5139" max="5139" width="15.140625" style="271" customWidth="1"/>
    <col min="5140" max="5140" width="9.42578125" style="271" customWidth="1"/>
    <col min="5141" max="5141" width="8.7109375" style="271" customWidth="1"/>
    <col min="5142" max="5149" width="0" style="271" hidden="1" customWidth="1"/>
    <col min="5150" max="5150" width="12.42578125" style="271" customWidth="1"/>
    <col min="5151" max="5151" width="15.28515625" style="271" customWidth="1"/>
    <col min="5152" max="5376" width="9.140625" style="271"/>
    <col min="5377" max="5377" width="2.28515625" style="271" customWidth="1"/>
    <col min="5378" max="5378" width="30.28515625" style="271" customWidth="1"/>
    <col min="5379" max="5379" width="4.42578125" style="271" customWidth="1"/>
    <col min="5380" max="5380" width="4" style="271" customWidth="1"/>
    <col min="5381" max="5381" width="4.28515625" style="271" customWidth="1"/>
    <col min="5382" max="5382" width="6.42578125" style="271" customWidth="1"/>
    <col min="5383" max="5384" width="8.140625" style="271" customWidth="1"/>
    <col min="5385" max="5385" width="7.28515625" style="271" customWidth="1"/>
    <col min="5386" max="5386" width="8" style="271" customWidth="1"/>
    <col min="5387" max="5387" width="7.85546875" style="271" customWidth="1"/>
    <col min="5388" max="5388" width="7.28515625" style="271" customWidth="1"/>
    <col min="5389" max="5389" width="7.42578125" style="271" customWidth="1"/>
    <col min="5390" max="5390" width="7.5703125" style="271" customWidth="1"/>
    <col min="5391" max="5391" width="7.7109375" style="271" customWidth="1"/>
    <col min="5392" max="5392" width="7.28515625" style="271" customWidth="1"/>
    <col min="5393" max="5393" width="7.85546875" style="271" customWidth="1"/>
    <col min="5394" max="5394" width="7.42578125" style="271" customWidth="1"/>
    <col min="5395" max="5395" width="15.140625" style="271" customWidth="1"/>
    <col min="5396" max="5396" width="9.42578125" style="271" customWidth="1"/>
    <col min="5397" max="5397" width="8.7109375" style="271" customWidth="1"/>
    <col min="5398" max="5405" width="0" style="271" hidden="1" customWidth="1"/>
    <col min="5406" max="5406" width="12.42578125" style="271" customWidth="1"/>
    <col min="5407" max="5407" width="15.28515625" style="271" customWidth="1"/>
    <col min="5408" max="5632" width="9.140625" style="271"/>
    <col min="5633" max="5633" width="2.28515625" style="271" customWidth="1"/>
    <col min="5634" max="5634" width="30.28515625" style="271" customWidth="1"/>
    <col min="5635" max="5635" width="4.42578125" style="271" customWidth="1"/>
    <col min="5636" max="5636" width="4" style="271" customWidth="1"/>
    <col min="5637" max="5637" width="4.28515625" style="271" customWidth="1"/>
    <col min="5638" max="5638" width="6.42578125" style="271" customWidth="1"/>
    <col min="5639" max="5640" width="8.140625" style="271" customWidth="1"/>
    <col min="5641" max="5641" width="7.28515625" style="271" customWidth="1"/>
    <col min="5642" max="5642" width="8" style="271" customWidth="1"/>
    <col min="5643" max="5643" width="7.85546875" style="271" customWidth="1"/>
    <col min="5644" max="5644" width="7.28515625" style="271" customWidth="1"/>
    <col min="5645" max="5645" width="7.42578125" style="271" customWidth="1"/>
    <col min="5646" max="5646" width="7.5703125" style="271" customWidth="1"/>
    <col min="5647" max="5647" width="7.7109375" style="271" customWidth="1"/>
    <col min="5648" max="5648" width="7.28515625" style="271" customWidth="1"/>
    <col min="5649" max="5649" width="7.85546875" style="271" customWidth="1"/>
    <col min="5650" max="5650" width="7.42578125" style="271" customWidth="1"/>
    <col min="5651" max="5651" width="15.140625" style="271" customWidth="1"/>
    <col min="5652" max="5652" width="9.42578125" style="271" customWidth="1"/>
    <col min="5653" max="5653" width="8.7109375" style="271" customWidth="1"/>
    <col min="5654" max="5661" width="0" style="271" hidden="1" customWidth="1"/>
    <col min="5662" max="5662" width="12.42578125" style="271" customWidth="1"/>
    <col min="5663" max="5663" width="15.28515625" style="271" customWidth="1"/>
    <col min="5664" max="5888" width="9.140625" style="271"/>
    <col min="5889" max="5889" width="2.28515625" style="271" customWidth="1"/>
    <col min="5890" max="5890" width="30.28515625" style="271" customWidth="1"/>
    <col min="5891" max="5891" width="4.42578125" style="271" customWidth="1"/>
    <col min="5892" max="5892" width="4" style="271" customWidth="1"/>
    <col min="5893" max="5893" width="4.28515625" style="271" customWidth="1"/>
    <col min="5894" max="5894" width="6.42578125" style="271" customWidth="1"/>
    <col min="5895" max="5896" width="8.140625" style="271" customWidth="1"/>
    <col min="5897" max="5897" width="7.28515625" style="271" customWidth="1"/>
    <col min="5898" max="5898" width="8" style="271" customWidth="1"/>
    <col min="5899" max="5899" width="7.85546875" style="271" customWidth="1"/>
    <col min="5900" max="5900" width="7.28515625" style="271" customWidth="1"/>
    <col min="5901" max="5901" width="7.42578125" style="271" customWidth="1"/>
    <col min="5902" max="5902" width="7.5703125" style="271" customWidth="1"/>
    <col min="5903" max="5903" width="7.7109375" style="271" customWidth="1"/>
    <col min="5904" max="5904" width="7.28515625" style="271" customWidth="1"/>
    <col min="5905" max="5905" width="7.85546875" style="271" customWidth="1"/>
    <col min="5906" max="5906" width="7.42578125" style="271" customWidth="1"/>
    <col min="5907" max="5907" width="15.140625" style="271" customWidth="1"/>
    <col min="5908" max="5908" width="9.42578125" style="271" customWidth="1"/>
    <col min="5909" max="5909" width="8.7109375" style="271" customWidth="1"/>
    <col min="5910" max="5917" width="0" style="271" hidden="1" customWidth="1"/>
    <col min="5918" max="5918" width="12.42578125" style="271" customWidth="1"/>
    <col min="5919" max="5919" width="15.28515625" style="271" customWidth="1"/>
    <col min="5920" max="6144" width="9.140625" style="271"/>
    <col min="6145" max="6145" width="2.28515625" style="271" customWidth="1"/>
    <col min="6146" max="6146" width="30.28515625" style="271" customWidth="1"/>
    <col min="6147" max="6147" width="4.42578125" style="271" customWidth="1"/>
    <col min="6148" max="6148" width="4" style="271" customWidth="1"/>
    <col min="6149" max="6149" width="4.28515625" style="271" customWidth="1"/>
    <col min="6150" max="6150" width="6.42578125" style="271" customWidth="1"/>
    <col min="6151" max="6152" width="8.140625" style="271" customWidth="1"/>
    <col min="6153" max="6153" width="7.28515625" style="271" customWidth="1"/>
    <col min="6154" max="6154" width="8" style="271" customWidth="1"/>
    <col min="6155" max="6155" width="7.85546875" style="271" customWidth="1"/>
    <col min="6156" max="6156" width="7.28515625" style="271" customWidth="1"/>
    <col min="6157" max="6157" width="7.42578125" style="271" customWidth="1"/>
    <col min="6158" max="6158" width="7.5703125" style="271" customWidth="1"/>
    <col min="6159" max="6159" width="7.7109375" style="271" customWidth="1"/>
    <col min="6160" max="6160" width="7.28515625" style="271" customWidth="1"/>
    <col min="6161" max="6161" width="7.85546875" style="271" customWidth="1"/>
    <col min="6162" max="6162" width="7.42578125" style="271" customWidth="1"/>
    <col min="6163" max="6163" width="15.140625" style="271" customWidth="1"/>
    <col min="6164" max="6164" width="9.42578125" style="271" customWidth="1"/>
    <col min="6165" max="6165" width="8.7109375" style="271" customWidth="1"/>
    <col min="6166" max="6173" width="0" style="271" hidden="1" customWidth="1"/>
    <col min="6174" max="6174" width="12.42578125" style="271" customWidth="1"/>
    <col min="6175" max="6175" width="15.28515625" style="271" customWidth="1"/>
    <col min="6176" max="6400" width="9.140625" style="271"/>
    <col min="6401" max="6401" width="2.28515625" style="271" customWidth="1"/>
    <col min="6402" max="6402" width="30.28515625" style="271" customWidth="1"/>
    <col min="6403" max="6403" width="4.42578125" style="271" customWidth="1"/>
    <col min="6404" max="6404" width="4" style="271" customWidth="1"/>
    <col min="6405" max="6405" width="4.28515625" style="271" customWidth="1"/>
    <col min="6406" max="6406" width="6.42578125" style="271" customWidth="1"/>
    <col min="6407" max="6408" width="8.140625" style="271" customWidth="1"/>
    <col min="6409" max="6409" width="7.28515625" style="271" customWidth="1"/>
    <col min="6410" max="6410" width="8" style="271" customWidth="1"/>
    <col min="6411" max="6411" width="7.85546875" style="271" customWidth="1"/>
    <col min="6412" max="6412" width="7.28515625" style="271" customWidth="1"/>
    <col min="6413" max="6413" width="7.42578125" style="271" customWidth="1"/>
    <col min="6414" max="6414" width="7.5703125" style="271" customWidth="1"/>
    <col min="6415" max="6415" width="7.7109375" style="271" customWidth="1"/>
    <col min="6416" max="6416" width="7.28515625" style="271" customWidth="1"/>
    <col min="6417" max="6417" width="7.85546875" style="271" customWidth="1"/>
    <col min="6418" max="6418" width="7.42578125" style="271" customWidth="1"/>
    <col min="6419" max="6419" width="15.140625" style="271" customWidth="1"/>
    <col min="6420" max="6420" width="9.42578125" style="271" customWidth="1"/>
    <col min="6421" max="6421" width="8.7109375" style="271" customWidth="1"/>
    <col min="6422" max="6429" width="0" style="271" hidden="1" customWidth="1"/>
    <col min="6430" max="6430" width="12.42578125" style="271" customWidth="1"/>
    <col min="6431" max="6431" width="15.28515625" style="271" customWidth="1"/>
    <col min="6432" max="6656" width="9.140625" style="271"/>
    <col min="6657" max="6657" width="2.28515625" style="271" customWidth="1"/>
    <col min="6658" max="6658" width="30.28515625" style="271" customWidth="1"/>
    <col min="6659" max="6659" width="4.42578125" style="271" customWidth="1"/>
    <col min="6660" max="6660" width="4" style="271" customWidth="1"/>
    <col min="6661" max="6661" width="4.28515625" style="271" customWidth="1"/>
    <col min="6662" max="6662" width="6.42578125" style="271" customWidth="1"/>
    <col min="6663" max="6664" width="8.140625" style="271" customWidth="1"/>
    <col min="6665" max="6665" width="7.28515625" style="271" customWidth="1"/>
    <col min="6666" max="6666" width="8" style="271" customWidth="1"/>
    <col min="6667" max="6667" width="7.85546875" style="271" customWidth="1"/>
    <col min="6668" max="6668" width="7.28515625" style="271" customWidth="1"/>
    <col min="6669" max="6669" width="7.42578125" style="271" customWidth="1"/>
    <col min="6670" max="6670" width="7.5703125" style="271" customWidth="1"/>
    <col min="6671" max="6671" width="7.7109375" style="271" customWidth="1"/>
    <col min="6672" max="6672" width="7.28515625" style="271" customWidth="1"/>
    <col min="6673" max="6673" width="7.85546875" style="271" customWidth="1"/>
    <col min="6674" max="6674" width="7.42578125" style="271" customWidth="1"/>
    <col min="6675" max="6675" width="15.140625" style="271" customWidth="1"/>
    <col min="6676" max="6676" width="9.42578125" style="271" customWidth="1"/>
    <col min="6677" max="6677" width="8.7109375" style="271" customWidth="1"/>
    <col min="6678" max="6685" width="0" style="271" hidden="1" customWidth="1"/>
    <col min="6686" max="6686" width="12.42578125" style="271" customWidth="1"/>
    <col min="6687" max="6687" width="15.28515625" style="271" customWidth="1"/>
    <col min="6688" max="6912" width="9.140625" style="271"/>
    <col min="6913" max="6913" width="2.28515625" style="271" customWidth="1"/>
    <col min="6914" max="6914" width="30.28515625" style="271" customWidth="1"/>
    <col min="6915" max="6915" width="4.42578125" style="271" customWidth="1"/>
    <col min="6916" max="6916" width="4" style="271" customWidth="1"/>
    <col min="6917" max="6917" width="4.28515625" style="271" customWidth="1"/>
    <col min="6918" max="6918" width="6.42578125" style="271" customWidth="1"/>
    <col min="6919" max="6920" width="8.140625" style="271" customWidth="1"/>
    <col min="6921" max="6921" width="7.28515625" style="271" customWidth="1"/>
    <col min="6922" max="6922" width="8" style="271" customWidth="1"/>
    <col min="6923" max="6923" width="7.85546875" style="271" customWidth="1"/>
    <col min="6924" max="6924" width="7.28515625" style="271" customWidth="1"/>
    <col min="6925" max="6925" width="7.42578125" style="271" customWidth="1"/>
    <col min="6926" max="6926" width="7.5703125" style="271" customWidth="1"/>
    <col min="6927" max="6927" width="7.7109375" style="271" customWidth="1"/>
    <col min="6928" max="6928" width="7.28515625" style="271" customWidth="1"/>
    <col min="6929" max="6929" width="7.85546875" style="271" customWidth="1"/>
    <col min="6930" max="6930" width="7.42578125" style="271" customWidth="1"/>
    <col min="6931" max="6931" width="15.140625" style="271" customWidth="1"/>
    <col min="6932" max="6932" width="9.42578125" style="271" customWidth="1"/>
    <col min="6933" max="6933" width="8.7109375" style="271" customWidth="1"/>
    <col min="6934" max="6941" width="0" style="271" hidden="1" customWidth="1"/>
    <col min="6942" max="6942" width="12.42578125" style="271" customWidth="1"/>
    <col min="6943" max="6943" width="15.28515625" style="271" customWidth="1"/>
    <col min="6944" max="7168" width="9.140625" style="271"/>
    <col min="7169" max="7169" width="2.28515625" style="271" customWidth="1"/>
    <col min="7170" max="7170" width="30.28515625" style="271" customWidth="1"/>
    <col min="7171" max="7171" width="4.42578125" style="271" customWidth="1"/>
    <col min="7172" max="7172" width="4" style="271" customWidth="1"/>
    <col min="7173" max="7173" width="4.28515625" style="271" customWidth="1"/>
    <col min="7174" max="7174" width="6.42578125" style="271" customWidth="1"/>
    <col min="7175" max="7176" width="8.140625" style="271" customWidth="1"/>
    <col min="7177" max="7177" width="7.28515625" style="271" customWidth="1"/>
    <col min="7178" max="7178" width="8" style="271" customWidth="1"/>
    <col min="7179" max="7179" width="7.85546875" style="271" customWidth="1"/>
    <col min="7180" max="7180" width="7.28515625" style="271" customWidth="1"/>
    <col min="7181" max="7181" width="7.42578125" style="271" customWidth="1"/>
    <col min="7182" max="7182" width="7.5703125" style="271" customWidth="1"/>
    <col min="7183" max="7183" width="7.7109375" style="271" customWidth="1"/>
    <col min="7184" max="7184" width="7.28515625" style="271" customWidth="1"/>
    <col min="7185" max="7185" width="7.85546875" style="271" customWidth="1"/>
    <col min="7186" max="7186" width="7.42578125" style="271" customWidth="1"/>
    <col min="7187" max="7187" width="15.140625" style="271" customWidth="1"/>
    <col min="7188" max="7188" width="9.42578125" style="271" customWidth="1"/>
    <col min="7189" max="7189" width="8.7109375" style="271" customWidth="1"/>
    <col min="7190" max="7197" width="0" style="271" hidden="1" customWidth="1"/>
    <col min="7198" max="7198" width="12.42578125" style="271" customWidth="1"/>
    <col min="7199" max="7199" width="15.28515625" style="271" customWidth="1"/>
    <col min="7200" max="7424" width="9.140625" style="271"/>
    <col min="7425" max="7425" width="2.28515625" style="271" customWidth="1"/>
    <col min="7426" max="7426" width="30.28515625" style="271" customWidth="1"/>
    <col min="7427" max="7427" width="4.42578125" style="271" customWidth="1"/>
    <col min="7428" max="7428" width="4" style="271" customWidth="1"/>
    <col min="7429" max="7429" width="4.28515625" style="271" customWidth="1"/>
    <col min="7430" max="7430" width="6.42578125" style="271" customWidth="1"/>
    <col min="7431" max="7432" width="8.140625" style="271" customWidth="1"/>
    <col min="7433" max="7433" width="7.28515625" style="271" customWidth="1"/>
    <col min="7434" max="7434" width="8" style="271" customWidth="1"/>
    <col min="7435" max="7435" width="7.85546875" style="271" customWidth="1"/>
    <col min="7436" max="7436" width="7.28515625" style="271" customWidth="1"/>
    <col min="7437" max="7437" width="7.42578125" style="271" customWidth="1"/>
    <col min="7438" max="7438" width="7.5703125" style="271" customWidth="1"/>
    <col min="7439" max="7439" width="7.7109375" style="271" customWidth="1"/>
    <col min="7440" max="7440" width="7.28515625" style="271" customWidth="1"/>
    <col min="7441" max="7441" width="7.85546875" style="271" customWidth="1"/>
    <col min="7442" max="7442" width="7.42578125" style="271" customWidth="1"/>
    <col min="7443" max="7443" width="15.140625" style="271" customWidth="1"/>
    <col min="7444" max="7444" width="9.42578125" style="271" customWidth="1"/>
    <col min="7445" max="7445" width="8.7109375" style="271" customWidth="1"/>
    <col min="7446" max="7453" width="0" style="271" hidden="1" customWidth="1"/>
    <col min="7454" max="7454" width="12.42578125" style="271" customWidth="1"/>
    <col min="7455" max="7455" width="15.28515625" style="271" customWidth="1"/>
    <col min="7456" max="7680" width="9.140625" style="271"/>
    <col min="7681" max="7681" width="2.28515625" style="271" customWidth="1"/>
    <col min="7682" max="7682" width="30.28515625" style="271" customWidth="1"/>
    <col min="7683" max="7683" width="4.42578125" style="271" customWidth="1"/>
    <col min="7684" max="7684" width="4" style="271" customWidth="1"/>
    <col min="7685" max="7685" width="4.28515625" style="271" customWidth="1"/>
    <col min="7686" max="7686" width="6.42578125" style="271" customWidth="1"/>
    <col min="7687" max="7688" width="8.140625" style="271" customWidth="1"/>
    <col min="7689" max="7689" width="7.28515625" style="271" customWidth="1"/>
    <col min="7690" max="7690" width="8" style="271" customWidth="1"/>
    <col min="7691" max="7691" width="7.85546875" style="271" customWidth="1"/>
    <col min="7692" max="7692" width="7.28515625" style="271" customWidth="1"/>
    <col min="7693" max="7693" width="7.42578125" style="271" customWidth="1"/>
    <col min="7694" max="7694" width="7.5703125" style="271" customWidth="1"/>
    <col min="7695" max="7695" width="7.7109375" style="271" customWidth="1"/>
    <col min="7696" max="7696" width="7.28515625" style="271" customWidth="1"/>
    <col min="7697" max="7697" width="7.85546875" style="271" customWidth="1"/>
    <col min="7698" max="7698" width="7.42578125" style="271" customWidth="1"/>
    <col min="7699" max="7699" width="15.140625" style="271" customWidth="1"/>
    <col min="7700" max="7700" width="9.42578125" style="271" customWidth="1"/>
    <col min="7701" max="7701" width="8.7109375" style="271" customWidth="1"/>
    <col min="7702" max="7709" width="0" style="271" hidden="1" customWidth="1"/>
    <col min="7710" max="7710" width="12.42578125" style="271" customWidth="1"/>
    <col min="7711" max="7711" width="15.28515625" style="271" customWidth="1"/>
    <col min="7712" max="7936" width="9.140625" style="271"/>
    <col min="7937" max="7937" width="2.28515625" style="271" customWidth="1"/>
    <col min="7938" max="7938" width="30.28515625" style="271" customWidth="1"/>
    <col min="7939" max="7939" width="4.42578125" style="271" customWidth="1"/>
    <col min="7940" max="7940" width="4" style="271" customWidth="1"/>
    <col min="7941" max="7941" width="4.28515625" style="271" customWidth="1"/>
    <col min="7942" max="7942" width="6.42578125" style="271" customWidth="1"/>
    <col min="7943" max="7944" width="8.140625" style="271" customWidth="1"/>
    <col min="7945" max="7945" width="7.28515625" style="271" customWidth="1"/>
    <col min="7946" max="7946" width="8" style="271" customWidth="1"/>
    <col min="7947" max="7947" width="7.85546875" style="271" customWidth="1"/>
    <col min="7948" max="7948" width="7.28515625" style="271" customWidth="1"/>
    <col min="7949" max="7949" width="7.42578125" style="271" customWidth="1"/>
    <col min="7950" max="7950" width="7.5703125" style="271" customWidth="1"/>
    <col min="7951" max="7951" width="7.7109375" style="271" customWidth="1"/>
    <col min="7952" max="7952" width="7.28515625" style="271" customWidth="1"/>
    <col min="7953" max="7953" width="7.85546875" style="271" customWidth="1"/>
    <col min="7954" max="7954" width="7.42578125" style="271" customWidth="1"/>
    <col min="7955" max="7955" width="15.140625" style="271" customWidth="1"/>
    <col min="7956" max="7956" width="9.42578125" style="271" customWidth="1"/>
    <col min="7957" max="7957" width="8.7109375" style="271" customWidth="1"/>
    <col min="7958" max="7965" width="0" style="271" hidden="1" customWidth="1"/>
    <col min="7966" max="7966" width="12.42578125" style="271" customWidth="1"/>
    <col min="7967" max="7967" width="15.28515625" style="271" customWidth="1"/>
    <col min="7968" max="8192" width="9.140625" style="271"/>
    <col min="8193" max="8193" width="2.28515625" style="271" customWidth="1"/>
    <col min="8194" max="8194" width="30.28515625" style="271" customWidth="1"/>
    <col min="8195" max="8195" width="4.42578125" style="271" customWidth="1"/>
    <col min="8196" max="8196" width="4" style="271" customWidth="1"/>
    <col min="8197" max="8197" width="4.28515625" style="271" customWidth="1"/>
    <col min="8198" max="8198" width="6.42578125" style="271" customWidth="1"/>
    <col min="8199" max="8200" width="8.140625" style="271" customWidth="1"/>
    <col min="8201" max="8201" width="7.28515625" style="271" customWidth="1"/>
    <col min="8202" max="8202" width="8" style="271" customWidth="1"/>
    <col min="8203" max="8203" width="7.85546875" style="271" customWidth="1"/>
    <col min="8204" max="8204" width="7.28515625" style="271" customWidth="1"/>
    <col min="8205" max="8205" width="7.42578125" style="271" customWidth="1"/>
    <col min="8206" max="8206" width="7.5703125" style="271" customWidth="1"/>
    <col min="8207" max="8207" width="7.7109375" style="271" customWidth="1"/>
    <col min="8208" max="8208" width="7.28515625" style="271" customWidth="1"/>
    <col min="8209" max="8209" width="7.85546875" style="271" customWidth="1"/>
    <col min="8210" max="8210" width="7.42578125" style="271" customWidth="1"/>
    <col min="8211" max="8211" width="15.140625" style="271" customWidth="1"/>
    <col min="8212" max="8212" width="9.42578125" style="271" customWidth="1"/>
    <col min="8213" max="8213" width="8.7109375" style="271" customWidth="1"/>
    <col min="8214" max="8221" width="0" style="271" hidden="1" customWidth="1"/>
    <col min="8222" max="8222" width="12.42578125" style="271" customWidth="1"/>
    <col min="8223" max="8223" width="15.28515625" style="271" customWidth="1"/>
    <col min="8224" max="8448" width="9.140625" style="271"/>
    <col min="8449" max="8449" width="2.28515625" style="271" customWidth="1"/>
    <col min="8450" max="8450" width="30.28515625" style="271" customWidth="1"/>
    <col min="8451" max="8451" width="4.42578125" style="271" customWidth="1"/>
    <col min="8452" max="8452" width="4" style="271" customWidth="1"/>
    <col min="8453" max="8453" width="4.28515625" style="271" customWidth="1"/>
    <col min="8454" max="8454" width="6.42578125" style="271" customWidth="1"/>
    <col min="8455" max="8456" width="8.140625" style="271" customWidth="1"/>
    <col min="8457" max="8457" width="7.28515625" style="271" customWidth="1"/>
    <col min="8458" max="8458" width="8" style="271" customWidth="1"/>
    <col min="8459" max="8459" width="7.85546875" style="271" customWidth="1"/>
    <col min="8460" max="8460" width="7.28515625" style="271" customWidth="1"/>
    <col min="8461" max="8461" width="7.42578125" style="271" customWidth="1"/>
    <col min="8462" max="8462" width="7.5703125" style="271" customWidth="1"/>
    <col min="8463" max="8463" width="7.7109375" style="271" customWidth="1"/>
    <col min="8464" max="8464" width="7.28515625" style="271" customWidth="1"/>
    <col min="8465" max="8465" width="7.85546875" style="271" customWidth="1"/>
    <col min="8466" max="8466" width="7.42578125" style="271" customWidth="1"/>
    <col min="8467" max="8467" width="15.140625" style="271" customWidth="1"/>
    <col min="8468" max="8468" width="9.42578125" style="271" customWidth="1"/>
    <col min="8469" max="8469" width="8.7109375" style="271" customWidth="1"/>
    <col min="8470" max="8477" width="0" style="271" hidden="1" customWidth="1"/>
    <col min="8478" max="8478" width="12.42578125" style="271" customWidth="1"/>
    <col min="8479" max="8479" width="15.28515625" style="271" customWidth="1"/>
    <col min="8480" max="8704" width="9.140625" style="271"/>
    <col min="8705" max="8705" width="2.28515625" style="271" customWidth="1"/>
    <col min="8706" max="8706" width="30.28515625" style="271" customWidth="1"/>
    <col min="8707" max="8707" width="4.42578125" style="271" customWidth="1"/>
    <col min="8708" max="8708" width="4" style="271" customWidth="1"/>
    <col min="8709" max="8709" width="4.28515625" style="271" customWidth="1"/>
    <col min="8710" max="8710" width="6.42578125" style="271" customWidth="1"/>
    <col min="8711" max="8712" width="8.140625" style="271" customWidth="1"/>
    <col min="8713" max="8713" width="7.28515625" style="271" customWidth="1"/>
    <col min="8714" max="8714" width="8" style="271" customWidth="1"/>
    <col min="8715" max="8715" width="7.85546875" style="271" customWidth="1"/>
    <col min="8716" max="8716" width="7.28515625" style="271" customWidth="1"/>
    <col min="8717" max="8717" width="7.42578125" style="271" customWidth="1"/>
    <col min="8718" max="8718" width="7.5703125" style="271" customWidth="1"/>
    <col min="8719" max="8719" width="7.7109375" style="271" customWidth="1"/>
    <col min="8720" max="8720" width="7.28515625" style="271" customWidth="1"/>
    <col min="8721" max="8721" width="7.85546875" style="271" customWidth="1"/>
    <col min="8722" max="8722" width="7.42578125" style="271" customWidth="1"/>
    <col min="8723" max="8723" width="15.140625" style="271" customWidth="1"/>
    <col min="8724" max="8724" width="9.42578125" style="271" customWidth="1"/>
    <col min="8725" max="8725" width="8.7109375" style="271" customWidth="1"/>
    <col min="8726" max="8733" width="0" style="271" hidden="1" customWidth="1"/>
    <col min="8734" max="8734" width="12.42578125" style="271" customWidth="1"/>
    <col min="8735" max="8735" width="15.28515625" style="271" customWidth="1"/>
    <col min="8736" max="8960" width="9.140625" style="271"/>
    <col min="8961" max="8961" width="2.28515625" style="271" customWidth="1"/>
    <col min="8962" max="8962" width="30.28515625" style="271" customWidth="1"/>
    <col min="8963" max="8963" width="4.42578125" style="271" customWidth="1"/>
    <col min="8964" max="8964" width="4" style="271" customWidth="1"/>
    <col min="8965" max="8965" width="4.28515625" style="271" customWidth="1"/>
    <col min="8966" max="8966" width="6.42578125" style="271" customWidth="1"/>
    <col min="8967" max="8968" width="8.140625" style="271" customWidth="1"/>
    <col min="8969" max="8969" width="7.28515625" style="271" customWidth="1"/>
    <col min="8970" max="8970" width="8" style="271" customWidth="1"/>
    <col min="8971" max="8971" width="7.85546875" style="271" customWidth="1"/>
    <col min="8972" max="8972" width="7.28515625" style="271" customWidth="1"/>
    <col min="8973" max="8973" width="7.42578125" style="271" customWidth="1"/>
    <col min="8974" max="8974" width="7.5703125" style="271" customWidth="1"/>
    <col min="8975" max="8975" width="7.7109375" style="271" customWidth="1"/>
    <col min="8976" max="8976" width="7.28515625" style="271" customWidth="1"/>
    <col min="8977" max="8977" width="7.85546875" style="271" customWidth="1"/>
    <col min="8978" max="8978" width="7.42578125" style="271" customWidth="1"/>
    <col min="8979" max="8979" width="15.140625" style="271" customWidth="1"/>
    <col min="8980" max="8980" width="9.42578125" style="271" customWidth="1"/>
    <col min="8981" max="8981" width="8.7109375" style="271" customWidth="1"/>
    <col min="8982" max="8989" width="0" style="271" hidden="1" customWidth="1"/>
    <col min="8990" max="8990" width="12.42578125" style="271" customWidth="1"/>
    <col min="8991" max="8991" width="15.28515625" style="271" customWidth="1"/>
    <col min="8992" max="9216" width="9.140625" style="271"/>
    <col min="9217" max="9217" width="2.28515625" style="271" customWidth="1"/>
    <col min="9218" max="9218" width="30.28515625" style="271" customWidth="1"/>
    <col min="9219" max="9219" width="4.42578125" style="271" customWidth="1"/>
    <col min="9220" max="9220" width="4" style="271" customWidth="1"/>
    <col min="9221" max="9221" width="4.28515625" style="271" customWidth="1"/>
    <col min="9222" max="9222" width="6.42578125" style="271" customWidth="1"/>
    <col min="9223" max="9224" width="8.140625" style="271" customWidth="1"/>
    <col min="9225" max="9225" width="7.28515625" style="271" customWidth="1"/>
    <col min="9226" max="9226" width="8" style="271" customWidth="1"/>
    <col min="9227" max="9227" width="7.85546875" style="271" customWidth="1"/>
    <col min="9228" max="9228" width="7.28515625" style="271" customWidth="1"/>
    <col min="9229" max="9229" width="7.42578125" style="271" customWidth="1"/>
    <col min="9230" max="9230" width="7.5703125" style="271" customWidth="1"/>
    <col min="9231" max="9231" width="7.7109375" style="271" customWidth="1"/>
    <col min="9232" max="9232" width="7.28515625" style="271" customWidth="1"/>
    <col min="9233" max="9233" width="7.85546875" style="271" customWidth="1"/>
    <col min="9234" max="9234" width="7.42578125" style="271" customWidth="1"/>
    <col min="9235" max="9235" width="15.140625" style="271" customWidth="1"/>
    <col min="9236" max="9236" width="9.42578125" style="271" customWidth="1"/>
    <col min="9237" max="9237" width="8.7109375" style="271" customWidth="1"/>
    <col min="9238" max="9245" width="0" style="271" hidden="1" customWidth="1"/>
    <col min="9246" max="9246" width="12.42578125" style="271" customWidth="1"/>
    <col min="9247" max="9247" width="15.28515625" style="271" customWidth="1"/>
    <col min="9248" max="9472" width="9.140625" style="271"/>
    <col min="9473" max="9473" width="2.28515625" style="271" customWidth="1"/>
    <col min="9474" max="9474" width="30.28515625" style="271" customWidth="1"/>
    <col min="9475" max="9475" width="4.42578125" style="271" customWidth="1"/>
    <col min="9476" max="9476" width="4" style="271" customWidth="1"/>
    <col min="9477" max="9477" width="4.28515625" style="271" customWidth="1"/>
    <col min="9478" max="9478" width="6.42578125" style="271" customWidth="1"/>
    <col min="9479" max="9480" width="8.140625" style="271" customWidth="1"/>
    <col min="9481" max="9481" width="7.28515625" style="271" customWidth="1"/>
    <col min="9482" max="9482" width="8" style="271" customWidth="1"/>
    <col min="9483" max="9483" width="7.85546875" style="271" customWidth="1"/>
    <col min="9484" max="9484" width="7.28515625" style="271" customWidth="1"/>
    <col min="9485" max="9485" width="7.42578125" style="271" customWidth="1"/>
    <col min="9486" max="9486" width="7.5703125" style="271" customWidth="1"/>
    <col min="9487" max="9487" width="7.7109375" style="271" customWidth="1"/>
    <col min="9488" max="9488" width="7.28515625" style="271" customWidth="1"/>
    <col min="9489" max="9489" width="7.85546875" style="271" customWidth="1"/>
    <col min="9490" max="9490" width="7.42578125" style="271" customWidth="1"/>
    <col min="9491" max="9491" width="15.140625" style="271" customWidth="1"/>
    <col min="9492" max="9492" width="9.42578125" style="271" customWidth="1"/>
    <col min="9493" max="9493" width="8.7109375" style="271" customWidth="1"/>
    <col min="9494" max="9501" width="0" style="271" hidden="1" customWidth="1"/>
    <col min="9502" max="9502" width="12.42578125" style="271" customWidth="1"/>
    <col min="9503" max="9503" width="15.28515625" style="271" customWidth="1"/>
    <col min="9504" max="9728" width="9.140625" style="271"/>
    <col min="9729" max="9729" width="2.28515625" style="271" customWidth="1"/>
    <col min="9730" max="9730" width="30.28515625" style="271" customWidth="1"/>
    <col min="9731" max="9731" width="4.42578125" style="271" customWidth="1"/>
    <col min="9732" max="9732" width="4" style="271" customWidth="1"/>
    <col min="9733" max="9733" width="4.28515625" style="271" customWidth="1"/>
    <col min="9734" max="9734" width="6.42578125" style="271" customWidth="1"/>
    <col min="9735" max="9736" width="8.140625" style="271" customWidth="1"/>
    <col min="9737" max="9737" width="7.28515625" style="271" customWidth="1"/>
    <col min="9738" max="9738" width="8" style="271" customWidth="1"/>
    <col min="9739" max="9739" width="7.85546875" style="271" customWidth="1"/>
    <col min="9740" max="9740" width="7.28515625" style="271" customWidth="1"/>
    <col min="9741" max="9741" width="7.42578125" style="271" customWidth="1"/>
    <col min="9742" max="9742" width="7.5703125" style="271" customWidth="1"/>
    <col min="9743" max="9743" width="7.7109375" style="271" customWidth="1"/>
    <col min="9744" max="9744" width="7.28515625" style="271" customWidth="1"/>
    <col min="9745" max="9745" width="7.85546875" style="271" customWidth="1"/>
    <col min="9746" max="9746" width="7.42578125" style="271" customWidth="1"/>
    <col min="9747" max="9747" width="15.140625" style="271" customWidth="1"/>
    <col min="9748" max="9748" width="9.42578125" style="271" customWidth="1"/>
    <col min="9749" max="9749" width="8.7109375" style="271" customWidth="1"/>
    <col min="9750" max="9757" width="0" style="271" hidden="1" customWidth="1"/>
    <col min="9758" max="9758" width="12.42578125" style="271" customWidth="1"/>
    <col min="9759" max="9759" width="15.28515625" style="271" customWidth="1"/>
    <col min="9760" max="9984" width="9.140625" style="271"/>
    <col min="9985" max="9985" width="2.28515625" style="271" customWidth="1"/>
    <col min="9986" max="9986" width="30.28515625" style="271" customWidth="1"/>
    <col min="9987" max="9987" width="4.42578125" style="271" customWidth="1"/>
    <col min="9988" max="9988" width="4" style="271" customWidth="1"/>
    <col min="9989" max="9989" width="4.28515625" style="271" customWidth="1"/>
    <col min="9990" max="9990" width="6.42578125" style="271" customWidth="1"/>
    <col min="9991" max="9992" width="8.140625" style="271" customWidth="1"/>
    <col min="9993" max="9993" width="7.28515625" style="271" customWidth="1"/>
    <col min="9994" max="9994" width="8" style="271" customWidth="1"/>
    <col min="9995" max="9995" width="7.85546875" style="271" customWidth="1"/>
    <col min="9996" max="9996" width="7.28515625" style="271" customWidth="1"/>
    <col min="9997" max="9997" width="7.42578125" style="271" customWidth="1"/>
    <col min="9998" max="9998" width="7.5703125" style="271" customWidth="1"/>
    <col min="9999" max="9999" width="7.7109375" style="271" customWidth="1"/>
    <col min="10000" max="10000" width="7.28515625" style="271" customWidth="1"/>
    <col min="10001" max="10001" width="7.85546875" style="271" customWidth="1"/>
    <col min="10002" max="10002" width="7.42578125" style="271" customWidth="1"/>
    <col min="10003" max="10003" width="15.140625" style="271" customWidth="1"/>
    <col min="10004" max="10004" width="9.42578125" style="271" customWidth="1"/>
    <col min="10005" max="10005" width="8.7109375" style="271" customWidth="1"/>
    <col min="10006" max="10013" width="0" style="271" hidden="1" customWidth="1"/>
    <col min="10014" max="10014" width="12.42578125" style="271" customWidth="1"/>
    <col min="10015" max="10015" width="15.28515625" style="271" customWidth="1"/>
    <col min="10016" max="10240" width="9.140625" style="271"/>
    <col min="10241" max="10241" width="2.28515625" style="271" customWidth="1"/>
    <col min="10242" max="10242" width="30.28515625" style="271" customWidth="1"/>
    <col min="10243" max="10243" width="4.42578125" style="271" customWidth="1"/>
    <col min="10244" max="10244" width="4" style="271" customWidth="1"/>
    <col min="10245" max="10245" width="4.28515625" style="271" customWidth="1"/>
    <col min="10246" max="10246" width="6.42578125" style="271" customWidth="1"/>
    <col min="10247" max="10248" width="8.140625" style="271" customWidth="1"/>
    <col min="10249" max="10249" width="7.28515625" style="271" customWidth="1"/>
    <col min="10250" max="10250" width="8" style="271" customWidth="1"/>
    <col min="10251" max="10251" width="7.85546875" style="271" customWidth="1"/>
    <col min="10252" max="10252" width="7.28515625" style="271" customWidth="1"/>
    <col min="10253" max="10253" width="7.42578125" style="271" customWidth="1"/>
    <col min="10254" max="10254" width="7.5703125" style="271" customWidth="1"/>
    <col min="10255" max="10255" width="7.7109375" style="271" customWidth="1"/>
    <col min="10256" max="10256" width="7.28515625" style="271" customWidth="1"/>
    <col min="10257" max="10257" width="7.85546875" style="271" customWidth="1"/>
    <col min="10258" max="10258" width="7.42578125" style="271" customWidth="1"/>
    <col min="10259" max="10259" width="15.140625" style="271" customWidth="1"/>
    <col min="10260" max="10260" width="9.42578125" style="271" customWidth="1"/>
    <col min="10261" max="10261" width="8.7109375" style="271" customWidth="1"/>
    <col min="10262" max="10269" width="0" style="271" hidden="1" customWidth="1"/>
    <col min="10270" max="10270" width="12.42578125" style="271" customWidth="1"/>
    <col min="10271" max="10271" width="15.28515625" style="271" customWidth="1"/>
    <col min="10272" max="10496" width="9.140625" style="271"/>
    <col min="10497" max="10497" width="2.28515625" style="271" customWidth="1"/>
    <col min="10498" max="10498" width="30.28515625" style="271" customWidth="1"/>
    <col min="10499" max="10499" width="4.42578125" style="271" customWidth="1"/>
    <col min="10500" max="10500" width="4" style="271" customWidth="1"/>
    <col min="10501" max="10501" width="4.28515625" style="271" customWidth="1"/>
    <col min="10502" max="10502" width="6.42578125" style="271" customWidth="1"/>
    <col min="10503" max="10504" width="8.140625" style="271" customWidth="1"/>
    <col min="10505" max="10505" width="7.28515625" style="271" customWidth="1"/>
    <col min="10506" max="10506" width="8" style="271" customWidth="1"/>
    <col min="10507" max="10507" width="7.85546875" style="271" customWidth="1"/>
    <col min="10508" max="10508" width="7.28515625" style="271" customWidth="1"/>
    <col min="10509" max="10509" width="7.42578125" style="271" customWidth="1"/>
    <col min="10510" max="10510" width="7.5703125" style="271" customWidth="1"/>
    <col min="10511" max="10511" width="7.7109375" style="271" customWidth="1"/>
    <col min="10512" max="10512" width="7.28515625" style="271" customWidth="1"/>
    <col min="10513" max="10513" width="7.85546875" style="271" customWidth="1"/>
    <col min="10514" max="10514" width="7.42578125" style="271" customWidth="1"/>
    <col min="10515" max="10515" width="15.140625" style="271" customWidth="1"/>
    <col min="10516" max="10516" width="9.42578125" style="271" customWidth="1"/>
    <col min="10517" max="10517" width="8.7109375" style="271" customWidth="1"/>
    <col min="10518" max="10525" width="0" style="271" hidden="1" customWidth="1"/>
    <col min="10526" max="10526" width="12.42578125" style="271" customWidth="1"/>
    <col min="10527" max="10527" width="15.28515625" style="271" customWidth="1"/>
    <col min="10528" max="10752" width="9.140625" style="271"/>
    <col min="10753" max="10753" width="2.28515625" style="271" customWidth="1"/>
    <col min="10754" max="10754" width="30.28515625" style="271" customWidth="1"/>
    <col min="10755" max="10755" width="4.42578125" style="271" customWidth="1"/>
    <col min="10756" max="10756" width="4" style="271" customWidth="1"/>
    <col min="10757" max="10757" width="4.28515625" style="271" customWidth="1"/>
    <col min="10758" max="10758" width="6.42578125" style="271" customWidth="1"/>
    <col min="10759" max="10760" width="8.140625" style="271" customWidth="1"/>
    <col min="10761" max="10761" width="7.28515625" style="271" customWidth="1"/>
    <col min="10762" max="10762" width="8" style="271" customWidth="1"/>
    <col min="10763" max="10763" width="7.85546875" style="271" customWidth="1"/>
    <col min="10764" max="10764" width="7.28515625" style="271" customWidth="1"/>
    <col min="10765" max="10765" width="7.42578125" style="271" customWidth="1"/>
    <col min="10766" max="10766" width="7.5703125" style="271" customWidth="1"/>
    <col min="10767" max="10767" width="7.7109375" style="271" customWidth="1"/>
    <col min="10768" max="10768" width="7.28515625" style="271" customWidth="1"/>
    <col min="10769" max="10769" width="7.85546875" style="271" customWidth="1"/>
    <col min="10770" max="10770" width="7.42578125" style="271" customWidth="1"/>
    <col min="10771" max="10771" width="15.140625" style="271" customWidth="1"/>
    <col min="10772" max="10772" width="9.42578125" style="271" customWidth="1"/>
    <col min="10773" max="10773" width="8.7109375" style="271" customWidth="1"/>
    <col min="10774" max="10781" width="0" style="271" hidden="1" customWidth="1"/>
    <col min="10782" max="10782" width="12.42578125" style="271" customWidth="1"/>
    <col min="10783" max="10783" width="15.28515625" style="271" customWidth="1"/>
    <col min="10784" max="11008" width="9.140625" style="271"/>
    <col min="11009" max="11009" width="2.28515625" style="271" customWidth="1"/>
    <col min="11010" max="11010" width="30.28515625" style="271" customWidth="1"/>
    <col min="11011" max="11011" width="4.42578125" style="271" customWidth="1"/>
    <col min="11012" max="11012" width="4" style="271" customWidth="1"/>
    <col min="11013" max="11013" width="4.28515625" style="271" customWidth="1"/>
    <col min="11014" max="11014" width="6.42578125" style="271" customWidth="1"/>
    <col min="11015" max="11016" width="8.140625" style="271" customWidth="1"/>
    <col min="11017" max="11017" width="7.28515625" style="271" customWidth="1"/>
    <col min="11018" max="11018" width="8" style="271" customWidth="1"/>
    <col min="11019" max="11019" width="7.85546875" style="271" customWidth="1"/>
    <col min="11020" max="11020" width="7.28515625" style="271" customWidth="1"/>
    <col min="11021" max="11021" width="7.42578125" style="271" customWidth="1"/>
    <col min="11022" max="11022" width="7.5703125" style="271" customWidth="1"/>
    <col min="11023" max="11023" width="7.7109375" style="271" customWidth="1"/>
    <col min="11024" max="11024" width="7.28515625" style="271" customWidth="1"/>
    <col min="11025" max="11025" width="7.85546875" style="271" customWidth="1"/>
    <col min="11026" max="11026" width="7.42578125" style="271" customWidth="1"/>
    <col min="11027" max="11027" width="15.140625" style="271" customWidth="1"/>
    <col min="11028" max="11028" width="9.42578125" style="271" customWidth="1"/>
    <col min="11029" max="11029" width="8.7109375" style="271" customWidth="1"/>
    <col min="11030" max="11037" width="0" style="271" hidden="1" customWidth="1"/>
    <col min="11038" max="11038" width="12.42578125" style="271" customWidth="1"/>
    <col min="11039" max="11039" width="15.28515625" style="271" customWidth="1"/>
    <col min="11040" max="11264" width="9.140625" style="271"/>
    <col min="11265" max="11265" width="2.28515625" style="271" customWidth="1"/>
    <col min="11266" max="11266" width="30.28515625" style="271" customWidth="1"/>
    <col min="11267" max="11267" width="4.42578125" style="271" customWidth="1"/>
    <col min="11268" max="11268" width="4" style="271" customWidth="1"/>
    <col min="11269" max="11269" width="4.28515625" style="271" customWidth="1"/>
    <col min="11270" max="11270" width="6.42578125" style="271" customWidth="1"/>
    <col min="11271" max="11272" width="8.140625" style="271" customWidth="1"/>
    <col min="11273" max="11273" width="7.28515625" style="271" customWidth="1"/>
    <col min="11274" max="11274" width="8" style="271" customWidth="1"/>
    <col min="11275" max="11275" width="7.85546875" style="271" customWidth="1"/>
    <col min="11276" max="11276" width="7.28515625" style="271" customWidth="1"/>
    <col min="11277" max="11277" width="7.42578125" style="271" customWidth="1"/>
    <col min="11278" max="11278" width="7.5703125" style="271" customWidth="1"/>
    <col min="11279" max="11279" width="7.7109375" style="271" customWidth="1"/>
    <col min="11280" max="11280" width="7.28515625" style="271" customWidth="1"/>
    <col min="11281" max="11281" width="7.85546875" style="271" customWidth="1"/>
    <col min="11282" max="11282" width="7.42578125" style="271" customWidth="1"/>
    <col min="11283" max="11283" width="15.140625" style="271" customWidth="1"/>
    <col min="11284" max="11284" width="9.42578125" style="271" customWidth="1"/>
    <col min="11285" max="11285" width="8.7109375" style="271" customWidth="1"/>
    <col min="11286" max="11293" width="0" style="271" hidden="1" customWidth="1"/>
    <col min="11294" max="11294" width="12.42578125" style="271" customWidth="1"/>
    <col min="11295" max="11295" width="15.28515625" style="271" customWidth="1"/>
    <col min="11296" max="11520" width="9.140625" style="271"/>
    <col min="11521" max="11521" width="2.28515625" style="271" customWidth="1"/>
    <col min="11522" max="11522" width="30.28515625" style="271" customWidth="1"/>
    <col min="11523" max="11523" width="4.42578125" style="271" customWidth="1"/>
    <col min="11524" max="11524" width="4" style="271" customWidth="1"/>
    <col min="11525" max="11525" width="4.28515625" style="271" customWidth="1"/>
    <col min="11526" max="11526" width="6.42578125" style="271" customWidth="1"/>
    <col min="11527" max="11528" width="8.140625" style="271" customWidth="1"/>
    <col min="11529" max="11529" width="7.28515625" style="271" customWidth="1"/>
    <col min="11530" max="11530" width="8" style="271" customWidth="1"/>
    <col min="11531" max="11531" width="7.85546875" style="271" customWidth="1"/>
    <col min="11532" max="11532" width="7.28515625" style="271" customWidth="1"/>
    <col min="11533" max="11533" width="7.42578125" style="271" customWidth="1"/>
    <col min="11534" max="11534" width="7.5703125" style="271" customWidth="1"/>
    <col min="11535" max="11535" width="7.7109375" style="271" customWidth="1"/>
    <col min="11536" max="11536" width="7.28515625" style="271" customWidth="1"/>
    <col min="11537" max="11537" width="7.85546875" style="271" customWidth="1"/>
    <col min="11538" max="11538" width="7.42578125" style="271" customWidth="1"/>
    <col min="11539" max="11539" width="15.140625" style="271" customWidth="1"/>
    <col min="11540" max="11540" width="9.42578125" style="271" customWidth="1"/>
    <col min="11541" max="11541" width="8.7109375" style="271" customWidth="1"/>
    <col min="11542" max="11549" width="0" style="271" hidden="1" customWidth="1"/>
    <col min="11550" max="11550" width="12.42578125" style="271" customWidth="1"/>
    <col min="11551" max="11551" width="15.28515625" style="271" customWidth="1"/>
    <col min="11552" max="11776" width="9.140625" style="271"/>
    <col min="11777" max="11777" width="2.28515625" style="271" customWidth="1"/>
    <col min="11778" max="11778" width="30.28515625" style="271" customWidth="1"/>
    <col min="11779" max="11779" width="4.42578125" style="271" customWidth="1"/>
    <col min="11780" max="11780" width="4" style="271" customWidth="1"/>
    <col min="11781" max="11781" width="4.28515625" style="271" customWidth="1"/>
    <col min="11782" max="11782" width="6.42578125" style="271" customWidth="1"/>
    <col min="11783" max="11784" width="8.140625" style="271" customWidth="1"/>
    <col min="11785" max="11785" width="7.28515625" style="271" customWidth="1"/>
    <col min="11786" max="11786" width="8" style="271" customWidth="1"/>
    <col min="11787" max="11787" width="7.85546875" style="271" customWidth="1"/>
    <col min="11788" max="11788" width="7.28515625" style="271" customWidth="1"/>
    <col min="11789" max="11789" width="7.42578125" style="271" customWidth="1"/>
    <col min="11790" max="11790" width="7.5703125" style="271" customWidth="1"/>
    <col min="11791" max="11791" width="7.7109375" style="271" customWidth="1"/>
    <col min="11792" max="11792" width="7.28515625" style="271" customWidth="1"/>
    <col min="11793" max="11793" width="7.85546875" style="271" customWidth="1"/>
    <col min="11794" max="11794" width="7.42578125" style="271" customWidth="1"/>
    <col min="11795" max="11795" width="15.140625" style="271" customWidth="1"/>
    <col min="11796" max="11796" width="9.42578125" style="271" customWidth="1"/>
    <col min="11797" max="11797" width="8.7109375" style="271" customWidth="1"/>
    <col min="11798" max="11805" width="0" style="271" hidden="1" customWidth="1"/>
    <col min="11806" max="11806" width="12.42578125" style="271" customWidth="1"/>
    <col min="11807" max="11807" width="15.28515625" style="271" customWidth="1"/>
    <col min="11808" max="12032" width="9.140625" style="271"/>
    <col min="12033" max="12033" width="2.28515625" style="271" customWidth="1"/>
    <col min="12034" max="12034" width="30.28515625" style="271" customWidth="1"/>
    <col min="12035" max="12035" width="4.42578125" style="271" customWidth="1"/>
    <col min="12036" max="12036" width="4" style="271" customWidth="1"/>
    <col min="12037" max="12037" width="4.28515625" style="271" customWidth="1"/>
    <col min="12038" max="12038" width="6.42578125" style="271" customWidth="1"/>
    <col min="12039" max="12040" width="8.140625" style="271" customWidth="1"/>
    <col min="12041" max="12041" width="7.28515625" style="271" customWidth="1"/>
    <col min="12042" max="12042" width="8" style="271" customWidth="1"/>
    <col min="12043" max="12043" width="7.85546875" style="271" customWidth="1"/>
    <col min="12044" max="12044" width="7.28515625" style="271" customWidth="1"/>
    <col min="12045" max="12045" width="7.42578125" style="271" customWidth="1"/>
    <col min="12046" max="12046" width="7.5703125" style="271" customWidth="1"/>
    <col min="12047" max="12047" width="7.7109375" style="271" customWidth="1"/>
    <col min="12048" max="12048" width="7.28515625" style="271" customWidth="1"/>
    <col min="12049" max="12049" width="7.85546875" style="271" customWidth="1"/>
    <col min="12050" max="12050" width="7.42578125" style="271" customWidth="1"/>
    <col min="12051" max="12051" width="15.140625" style="271" customWidth="1"/>
    <col min="12052" max="12052" width="9.42578125" style="271" customWidth="1"/>
    <col min="12053" max="12053" width="8.7109375" style="271" customWidth="1"/>
    <col min="12054" max="12061" width="0" style="271" hidden="1" customWidth="1"/>
    <col min="12062" max="12062" width="12.42578125" style="271" customWidth="1"/>
    <col min="12063" max="12063" width="15.28515625" style="271" customWidth="1"/>
    <col min="12064" max="12288" width="9.140625" style="271"/>
    <col min="12289" max="12289" width="2.28515625" style="271" customWidth="1"/>
    <col min="12290" max="12290" width="30.28515625" style="271" customWidth="1"/>
    <col min="12291" max="12291" width="4.42578125" style="271" customWidth="1"/>
    <col min="12292" max="12292" width="4" style="271" customWidth="1"/>
    <col min="12293" max="12293" width="4.28515625" style="271" customWidth="1"/>
    <col min="12294" max="12294" width="6.42578125" style="271" customWidth="1"/>
    <col min="12295" max="12296" width="8.140625" style="271" customWidth="1"/>
    <col min="12297" max="12297" width="7.28515625" style="271" customWidth="1"/>
    <col min="12298" max="12298" width="8" style="271" customWidth="1"/>
    <col min="12299" max="12299" width="7.85546875" style="271" customWidth="1"/>
    <col min="12300" max="12300" width="7.28515625" style="271" customWidth="1"/>
    <col min="12301" max="12301" width="7.42578125" style="271" customWidth="1"/>
    <col min="12302" max="12302" width="7.5703125" style="271" customWidth="1"/>
    <col min="12303" max="12303" width="7.7109375" style="271" customWidth="1"/>
    <col min="12304" max="12304" width="7.28515625" style="271" customWidth="1"/>
    <col min="12305" max="12305" width="7.85546875" style="271" customWidth="1"/>
    <col min="12306" max="12306" width="7.42578125" style="271" customWidth="1"/>
    <col min="12307" max="12307" width="15.140625" style="271" customWidth="1"/>
    <col min="12308" max="12308" width="9.42578125" style="271" customWidth="1"/>
    <col min="12309" max="12309" width="8.7109375" style="271" customWidth="1"/>
    <col min="12310" max="12317" width="0" style="271" hidden="1" customWidth="1"/>
    <col min="12318" max="12318" width="12.42578125" style="271" customWidth="1"/>
    <col min="12319" max="12319" width="15.28515625" style="271" customWidth="1"/>
    <col min="12320" max="12544" width="9.140625" style="271"/>
    <col min="12545" max="12545" width="2.28515625" style="271" customWidth="1"/>
    <col min="12546" max="12546" width="30.28515625" style="271" customWidth="1"/>
    <col min="12547" max="12547" width="4.42578125" style="271" customWidth="1"/>
    <col min="12548" max="12548" width="4" style="271" customWidth="1"/>
    <col min="12549" max="12549" width="4.28515625" style="271" customWidth="1"/>
    <col min="12550" max="12550" width="6.42578125" style="271" customWidth="1"/>
    <col min="12551" max="12552" width="8.140625" style="271" customWidth="1"/>
    <col min="12553" max="12553" width="7.28515625" style="271" customWidth="1"/>
    <col min="12554" max="12554" width="8" style="271" customWidth="1"/>
    <col min="12555" max="12555" width="7.85546875" style="271" customWidth="1"/>
    <col min="12556" max="12556" width="7.28515625" style="271" customWidth="1"/>
    <col min="12557" max="12557" width="7.42578125" style="271" customWidth="1"/>
    <col min="12558" max="12558" width="7.5703125" style="271" customWidth="1"/>
    <col min="12559" max="12559" width="7.7109375" style="271" customWidth="1"/>
    <col min="12560" max="12560" width="7.28515625" style="271" customWidth="1"/>
    <col min="12561" max="12561" width="7.85546875" style="271" customWidth="1"/>
    <col min="12562" max="12562" width="7.42578125" style="271" customWidth="1"/>
    <col min="12563" max="12563" width="15.140625" style="271" customWidth="1"/>
    <col min="12564" max="12564" width="9.42578125" style="271" customWidth="1"/>
    <col min="12565" max="12565" width="8.7109375" style="271" customWidth="1"/>
    <col min="12566" max="12573" width="0" style="271" hidden="1" customWidth="1"/>
    <col min="12574" max="12574" width="12.42578125" style="271" customWidth="1"/>
    <col min="12575" max="12575" width="15.28515625" style="271" customWidth="1"/>
    <col min="12576" max="12800" width="9.140625" style="271"/>
    <col min="12801" max="12801" width="2.28515625" style="271" customWidth="1"/>
    <col min="12802" max="12802" width="30.28515625" style="271" customWidth="1"/>
    <col min="12803" max="12803" width="4.42578125" style="271" customWidth="1"/>
    <col min="12804" max="12804" width="4" style="271" customWidth="1"/>
    <col min="12805" max="12805" width="4.28515625" style="271" customWidth="1"/>
    <col min="12806" max="12806" width="6.42578125" style="271" customWidth="1"/>
    <col min="12807" max="12808" width="8.140625" style="271" customWidth="1"/>
    <col min="12809" max="12809" width="7.28515625" style="271" customWidth="1"/>
    <col min="12810" max="12810" width="8" style="271" customWidth="1"/>
    <col min="12811" max="12811" width="7.85546875" style="271" customWidth="1"/>
    <col min="12812" max="12812" width="7.28515625" style="271" customWidth="1"/>
    <col min="12813" max="12813" width="7.42578125" style="271" customWidth="1"/>
    <col min="12814" max="12814" width="7.5703125" style="271" customWidth="1"/>
    <col min="12815" max="12815" width="7.7109375" style="271" customWidth="1"/>
    <col min="12816" max="12816" width="7.28515625" style="271" customWidth="1"/>
    <col min="12817" max="12817" width="7.85546875" style="271" customWidth="1"/>
    <col min="12818" max="12818" width="7.42578125" style="271" customWidth="1"/>
    <col min="12819" max="12819" width="15.140625" style="271" customWidth="1"/>
    <col min="12820" max="12820" width="9.42578125" style="271" customWidth="1"/>
    <col min="12821" max="12821" width="8.7109375" style="271" customWidth="1"/>
    <col min="12822" max="12829" width="0" style="271" hidden="1" customWidth="1"/>
    <col min="12830" max="12830" width="12.42578125" style="271" customWidth="1"/>
    <col min="12831" max="12831" width="15.28515625" style="271" customWidth="1"/>
    <col min="12832" max="13056" width="9.140625" style="271"/>
    <col min="13057" max="13057" width="2.28515625" style="271" customWidth="1"/>
    <col min="13058" max="13058" width="30.28515625" style="271" customWidth="1"/>
    <col min="13059" max="13059" width="4.42578125" style="271" customWidth="1"/>
    <col min="13060" max="13060" width="4" style="271" customWidth="1"/>
    <col min="13061" max="13061" width="4.28515625" style="271" customWidth="1"/>
    <col min="13062" max="13062" width="6.42578125" style="271" customWidth="1"/>
    <col min="13063" max="13064" width="8.140625" style="271" customWidth="1"/>
    <col min="13065" max="13065" width="7.28515625" style="271" customWidth="1"/>
    <col min="13066" max="13066" width="8" style="271" customWidth="1"/>
    <col min="13067" max="13067" width="7.85546875" style="271" customWidth="1"/>
    <col min="13068" max="13068" width="7.28515625" style="271" customWidth="1"/>
    <col min="13069" max="13069" width="7.42578125" style="271" customWidth="1"/>
    <col min="13070" max="13070" width="7.5703125" style="271" customWidth="1"/>
    <col min="13071" max="13071" width="7.7109375" style="271" customWidth="1"/>
    <col min="13072" max="13072" width="7.28515625" style="271" customWidth="1"/>
    <col min="13073" max="13073" width="7.85546875" style="271" customWidth="1"/>
    <col min="13074" max="13074" width="7.42578125" style="271" customWidth="1"/>
    <col min="13075" max="13075" width="15.140625" style="271" customWidth="1"/>
    <col min="13076" max="13076" width="9.42578125" style="271" customWidth="1"/>
    <col min="13077" max="13077" width="8.7109375" style="271" customWidth="1"/>
    <col min="13078" max="13085" width="0" style="271" hidden="1" customWidth="1"/>
    <col min="13086" max="13086" width="12.42578125" style="271" customWidth="1"/>
    <col min="13087" max="13087" width="15.28515625" style="271" customWidth="1"/>
    <col min="13088" max="13312" width="9.140625" style="271"/>
    <col min="13313" max="13313" width="2.28515625" style="271" customWidth="1"/>
    <col min="13314" max="13314" width="30.28515625" style="271" customWidth="1"/>
    <col min="13315" max="13315" width="4.42578125" style="271" customWidth="1"/>
    <col min="13316" max="13316" width="4" style="271" customWidth="1"/>
    <col min="13317" max="13317" width="4.28515625" style="271" customWidth="1"/>
    <col min="13318" max="13318" width="6.42578125" style="271" customWidth="1"/>
    <col min="13319" max="13320" width="8.140625" style="271" customWidth="1"/>
    <col min="13321" max="13321" width="7.28515625" style="271" customWidth="1"/>
    <col min="13322" max="13322" width="8" style="271" customWidth="1"/>
    <col min="13323" max="13323" width="7.85546875" style="271" customWidth="1"/>
    <col min="13324" max="13324" width="7.28515625" style="271" customWidth="1"/>
    <col min="13325" max="13325" width="7.42578125" style="271" customWidth="1"/>
    <col min="13326" max="13326" width="7.5703125" style="271" customWidth="1"/>
    <col min="13327" max="13327" width="7.7109375" style="271" customWidth="1"/>
    <col min="13328" max="13328" width="7.28515625" style="271" customWidth="1"/>
    <col min="13329" max="13329" width="7.85546875" style="271" customWidth="1"/>
    <col min="13330" max="13330" width="7.42578125" style="271" customWidth="1"/>
    <col min="13331" max="13331" width="15.140625" style="271" customWidth="1"/>
    <col min="13332" max="13332" width="9.42578125" style="271" customWidth="1"/>
    <col min="13333" max="13333" width="8.7109375" style="271" customWidth="1"/>
    <col min="13334" max="13341" width="0" style="271" hidden="1" customWidth="1"/>
    <col min="13342" max="13342" width="12.42578125" style="271" customWidth="1"/>
    <col min="13343" max="13343" width="15.28515625" style="271" customWidth="1"/>
    <col min="13344" max="13568" width="9.140625" style="271"/>
    <col min="13569" max="13569" width="2.28515625" style="271" customWidth="1"/>
    <col min="13570" max="13570" width="30.28515625" style="271" customWidth="1"/>
    <col min="13571" max="13571" width="4.42578125" style="271" customWidth="1"/>
    <col min="13572" max="13572" width="4" style="271" customWidth="1"/>
    <col min="13573" max="13573" width="4.28515625" style="271" customWidth="1"/>
    <col min="13574" max="13574" width="6.42578125" style="271" customWidth="1"/>
    <col min="13575" max="13576" width="8.140625" style="271" customWidth="1"/>
    <col min="13577" max="13577" width="7.28515625" style="271" customWidth="1"/>
    <col min="13578" max="13578" width="8" style="271" customWidth="1"/>
    <col min="13579" max="13579" width="7.85546875" style="271" customWidth="1"/>
    <col min="13580" max="13580" width="7.28515625" style="271" customWidth="1"/>
    <col min="13581" max="13581" width="7.42578125" style="271" customWidth="1"/>
    <col min="13582" max="13582" width="7.5703125" style="271" customWidth="1"/>
    <col min="13583" max="13583" width="7.7109375" style="271" customWidth="1"/>
    <col min="13584" max="13584" width="7.28515625" style="271" customWidth="1"/>
    <col min="13585" max="13585" width="7.85546875" style="271" customWidth="1"/>
    <col min="13586" max="13586" width="7.42578125" style="271" customWidth="1"/>
    <col min="13587" max="13587" width="15.140625" style="271" customWidth="1"/>
    <col min="13588" max="13588" width="9.42578125" style="271" customWidth="1"/>
    <col min="13589" max="13589" width="8.7109375" style="271" customWidth="1"/>
    <col min="13590" max="13597" width="0" style="271" hidden="1" customWidth="1"/>
    <col min="13598" max="13598" width="12.42578125" style="271" customWidth="1"/>
    <col min="13599" max="13599" width="15.28515625" style="271" customWidth="1"/>
    <col min="13600" max="13824" width="9.140625" style="271"/>
    <col min="13825" max="13825" width="2.28515625" style="271" customWidth="1"/>
    <col min="13826" max="13826" width="30.28515625" style="271" customWidth="1"/>
    <col min="13827" max="13827" width="4.42578125" style="271" customWidth="1"/>
    <col min="13828" max="13828" width="4" style="271" customWidth="1"/>
    <col min="13829" max="13829" width="4.28515625" style="271" customWidth="1"/>
    <col min="13830" max="13830" width="6.42578125" style="271" customWidth="1"/>
    <col min="13831" max="13832" width="8.140625" style="271" customWidth="1"/>
    <col min="13833" max="13833" width="7.28515625" style="271" customWidth="1"/>
    <col min="13834" max="13834" width="8" style="271" customWidth="1"/>
    <col min="13835" max="13835" width="7.85546875" style="271" customWidth="1"/>
    <col min="13836" max="13836" width="7.28515625" style="271" customWidth="1"/>
    <col min="13837" max="13837" width="7.42578125" style="271" customWidth="1"/>
    <col min="13838" max="13838" width="7.5703125" style="271" customWidth="1"/>
    <col min="13839" max="13839" width="7.7109375" style="271" customWidth="1"/>
    <col min="13840" max="13840" width="7.28515625" style="271" customWidth="1"/>
    <col min="13841" max="13841" width="7.85546875" style="271" customWidth="1"/>
    <col min="13842" max="13842" width="7.42578125" style="271" customWidth="1"/>
    <col min="13843" max="13843" width="15.140625" style="271" customWidth="1"/>
    <col min="13844" max="13844" width="9.42578125" style="271" customWidth="1"/>
    <col min="13845" max="13845" width="8.7109375" style="271" customWidth="1"/>
    <col min="13846" max="13853" width="0" style="271" hidden="1" customWidth="1"/>
    <col min="13854" max="13854" width="12.42578125" style="271" customWidth="1"/>
    <col min="13855" max="13855" width="15.28515625" style="271" customWidth="1"/>
    <col min="13856" max="14080" width="9.140625" style="271"/>
    <col min="14081" max="14081" width="2.28515625" style="271" customWidth="1"/>
    <col min="14082" max="14082" width="30.28515625" style="271" customWidth="1"/>
    <col min="14083" max="14083" width="4.42578125" style="271" customWidth="1"/>
    <col min="14084" max="14084" width="4" style="271" customWidth="1"/>
    <col min="14085" max="14085" width="4.28515625" style="271" customWidth="1"/>
    <col min="14086" max="14086" width="6.42578125" style="271" customWidth="1"/>
    <col min="14087" max="14088" width="8.140625" style="271" customWidth="1"/>
    <col min="14089" max="14089" width="7.28515625" style="271" customWidth="1"/>
    <col min="14090" max="14090" width="8" style="271" customWidth="1"/>
    <col min="14091" max="14091" width="7.85546875" style="271" customWidth="1"/>
    <col min="14092" max="14092" width="7.28515625" style="271" customWidth="1"/>
    <col min="14093" max="14093" width="7.42578125" style="271" customWidth="1"/>
    <col min="14094" max="14094" width="7.5703125" style="271" customWidth="1"/>
    <col min="14095" max="14095" width="7.7109375" style="271" customWidth="1"/>
    <col min="14096" max="14096" width="7.28515625" style="271" customWidth="1"/>
    <col min="14097" max="14097" width="7.85546875" style="271" customWidth="1"/>
    <col min="14098" max="14098" width="7.42578125" style="271" customWidth="1"/>
    <col min="14099" max="14099" width="15.140625" style="271" customWidth="1"/>
    <col min="14100" max="14100" width="9.42578125" style="271" customWidth="1"/>
    <col min="14101" max="14101" width="8.7109375" style="271" customWidth="1"/>
    <col min="14102" max="14109" width="0" style="271" hidden="1" customWidth="1"/>
    <col min="14110" max="14110" width="12.42578125" style="271" customWidth="1"/>
    <col min="14111" max="14111" width="15.28515625" style="271" customWidth="1"/>
    <col min="14112" max="14336" width="9.140625" style="271"/>
    <col min="14337" max="14337" width="2.28515625" style="271" customWidth="1"/>
    <col min="14338" max="14338" width="30.28515625" style="271" customWidth="1"/>
    <col min="14339" max="14339" width="4.42578125" style="271" customWidth="1"/>
    <col min="14340" max="14340" width="4" style="271" customWidth="1"/>
    <col min="14341" max="14341" width="4.28515625" style="271" customWidth="1"/>
    <col min="14342" max="14342" width="6.42578125" style="271" customWidth="1"/>
    <col min="14343" max="14344" width="8.140625" style="271" customWidth="1"/>
    <col min="14345" max="14345" width="7.28515625" style="271" customWidth="1"/>
    <col min="14346" max="14346" width="8" style="271" customWidth="1"/>
    <col min="14347" max="14347" width="7.85546875" style="271" customWidth="1"/>
    <col min="14348" max="14348" width="7.28515625" style="271" customWidth="1"/>
    <col min="14349" max="14349" width="7.42578125" style="271" customWidth="1"/>
    <col min="14350" max="14350" width="7.5703125" style="271" customWidth="1"/>
    <col min="14351" max="14351" width="7.7109375" style="271" customWidth="1"/>
    <col min="14352" max="14352" width="7.28515625" style="271" customWidth="1"/>
    <col min="14353" max="14353" width="7.85546875" style="271" customWidth="1"/>
    <col min="14354" max="14354" width="7.42578125" style="271" customWidth="1"/>
    <col min="14355" max="14355" width="15.140625" style="271" customWidth="1"/>
    <col min="14356" max="14356" width="9.42578125" style="271" customWidth="1"/>
    <col min="14357" max="14357" width="8.7109375" style="271" customWidth="1"/>
    <col min="14358" max="14365" width="0" style="271" hidden="1" customWidth="1"/>
    <col min="14366" max="14366" width="12.42578125" style="271" customWidth="1"/>
    <col min="14367" max="14367" width="15.28515625" style="271" customWidth="1"/>
    <col min="14368" max="14592" width="9.140625" style="271"/>
    <col min="14593" max="14593" width="2.28515625" style="271" customWidth="1"/>
    <col min="14594" max="14594" width="30.28515625" style="271" customWidth="1"/>
    <col min="14595" max="14595" width="4.42578125" style="271" customWidth="1"/>
    <col min="14596" max="14596" width="4" style="271" customWidth="1"/>
    <col min="14597" max="14597" width="4.28515625" style="271" customWidth="1"/>
    <col min="14598" max="14598" width="6.42578125" style="271" customWidth="1"/>
    <col min="14599" max="14600" width="8.140625" style="271" customWidth="1"/>
    <col min="14601" max="14601" width="7.28515625" style="271" customWidth="1"/>
    <col min="14602" max="14602" width="8" style="271" customWidth="1"/>
    <col min="14603" max="14603" width="7.85546875" style="271" customWidth="1"/>
    <col min="14604" max="14604" width="7.28515625" style="271" customWidth="1"/>
    <col min="14605" max="14605" width="7.42578125" style="271" customWidth="1"/>
    <col min="14606" max="14606" width="7.5703125" style="271" customWidth="1"/>
    <col min="14607" max="14607" width="7.7109375" style="271" customWidth="1"/>
    <col min="14608" max="14608" width="7.28515625" style="271" customWidth="1"/>
    <col min="14609" max="14609" width="7.85546875" style="271" customWidth="1"/>
    <col min="14610" max="14610" width="7.42578125" style="271" customWidth="1"/>
    <col min="14611" max="14611" width="15.140625" style="271" customWidth="1"/>
    <col min="14612" max="14612" width="9.42578125" style="271" customWidth="1"/>
    <col min="14613" max="14613" width="8.7109375" style="271" customWidth="1"/>
    <col min="14614" max="14621" width="0" style="271" hidden="1" customWidth="1"/>
    <col min="14622" max="14622" width="12.42578125" style="271" customWidth="1"/>
    <col min="14623" max="14623" width="15.28515625" style="271" customWidth="1"/>
    <col min="14624" max="14848" width="9.140625" style="271"/>
    <col min="14849" max="14849" width="2.28515625" style="271" customWidth="1"/>
    <col min="14850" max="14850" width="30.28515625" style="271" customWidth="1"/>
    <col min="14851" max="14851" width="4.42578125" style="271" customWidth="1"/>
    <col min="14852" max="14852" width="4" style="271" customWidth="1"/>
    <col min="14853" max="14853" width="4.28515625" style="271" customWidth="1"/>
    <col min="14854" max="14854" width="6.42578125" style="271" customWidth="1"/>
    <col min="14855" max="14856" width="8.140625" style="271" customWidth="1"/>
    <col min="14857" max="14857" width="7.28515625" style="271" customWidth="1"/>
    <col min="14858" max="14858" width="8" style="271" customWidth="1"/>
    <col min="14859" max="14859" width="7.85546875" style="271" customWidth="1"/>
    <col min="14860" max="14860" width="7.28515625" style="271" customWidth="1"/>
    <col min="14861" max="14861" width="7.42578125" style="271" customWidth="1"/>
    <col min="14862" max="14862" width="7.5703125" style="271" customWidth="1"/>
    <col min="14863" max="14863" width="7.7109375" style="271" customWidth="1"/>
    <col min="14864" max="14864" width="7.28515625" style="271" customWidth="1"/>
    <col min="14865" max="14865" width="7.85546875" style="271" customWidth="1"/>
    <col min="14866" max="14866" width="7.42578125" style="271" customWidth="1"/>
    <col min="14867" max="14867" width="15.140625" style="271" customWidth="1"/>
    <col min="14868" max="14868" width="9.42578125" style="271" customWidth="1"/>
    <col min="14869" max="14869" width="8.7109375" style="271" customWidth="1"/>
    <col min="14870" max="14877" width="0" style="271" hidden="1" customWidth="1"/>
    <col min="14878" max="14878" width="12.42578125" style="271" customWidth="1"/>
    <col min="14879" max="14879" width="15.28515625" style="271" customWidth="1"/>
    <col min="14880" max="15104" width="9.140625" style="271"/>
    <col min="15105" max="15105" width="2.28515625" style="271" customWidth="1"/>
    <col min="15106" max="15106" width="30.28515625" style="271" customWidth="1"/>
    <col min="15107" max="15107" width="4.42578125" style="271" customWidth="1"/>
    <col min="15108" max="15108" width="4" style="271" customWidth="1"/>
    <col min="15109" max="15109" width="4.28515625" style="271" customWidth="1"/>
    <col min="15110" max="15110" width="6.42578125" style="271" customWidth="1"/>
    <col min="15111" max="15112" width="8.140625" style="271" customWidth="1"/>
    <col min="15113" max="15113" width="7.28515625" style="271" customWidth="1"/>
    <col min="15114" max="15114" width="8" style="271" customWidth="1"/>
    <col min="15115" max="15115" width="7.85546875" style="271" customWidth="1"/>
    <col min="15116" max="15116" width="7.28515625" style="271" customWidth="1"/>
    <col min="15117" max="15117" width="7.42578125" style="271" customWidth="1"/>
    <col min="15118" max="15118" width="7.5703125" style="271" customWidth="1"/>
    <col min="15119" max="15119" width="7.7109375" style="271" customWidth="1"/>
    <col min="15120" max="15120" width="7.28515625" style="271" customWidth="1"/>
    <col min="15121" max="15121" width="7.85546875" style="271" customWidth="1"/>
    <col min="15122" max="15122" width="7.42578125" style="271" customWidth="1"/>
    <col min="15123" max="15123" width="15.140625" style="271" customWidth="1"/>
    <col min="15124" max="15124" width="9.42578125" style="271" customWidth="1"/>
    <col min="15125" max="15125" width="8.7109375" style="271" customWidth="1"/>
    <col min="15126" max="15133" width="0" style="271" hidden="1" customWidth="1"/>
    <col min="15134" max="15134" width="12.42578125" style="271" customWidth="1"/>
    <col min="15135" max="15135" width="15.28515625" style="271" customWidth="1"/>
    <col min="15136" max="15360" width="9.140625" style="271"/>
    <col min="15361" max="15361" width="2.28515625" style="271" customWidth="1"/>
    <col min="15362" max="15362" width="30.28515625" style="271" customWidth="1"/>
    <col min="15363" max="15363" width="4.42578125" style="271" customWidth="1"/>
    <col min="15364" max="15364" width="4" style="271" customWidth="1"/>
    <col min="15365" max="15365" width="4.28515625" style="271" customWidth="1"/>
    <col min="15366" max="15366" width="6.42578125" style="271" customWidth="1"/>
    <col min="15367" max="15368" width="8.140625" style="271" customWidth="1"/>
    <col min="15369" max="15369" width="7.28515625" style="271" customWidth="1"/>
    <col min="15370" max="15370" width="8" style="271" customWidth="1"/>
    <col min="15371" max="15371" width="7.85546875" style="271" customWidth="1"/>
    <col min="15372" max="15372" width="7.28515625" style="271" customWidth="1"/>
    <col min="15373" max="15373" width="7.42578125" style="271" customWidth="1"/>
    <col min="15374" max="15374" width="7.5703125" style="271" customWidth="1"/>
    <col min="15375" max="15375" width="7.7109375" style="271" customWidth="1"/>
    <col min="15376" max="15376" width="7.28515625" style="271" customWidth="1"/>
    <col min="15377" max="15377" width="7.85546875" style="271" customWidth="1"/>
    <col min="15378" max="15378" width="7.42578125" style="271" customWidth="1"/>
    <col min="15379" max="15379" width="15.140625" style="271" customWidth="1"/>
    <col min="15380" max="15380" width="9.42578125" style="271" customWidth="1"/>
    <col min="15381" max="15381" width="8.7109375" style="271" customWidth="1"/>
    <col min="15382" max="15389" width="0" style="271" hidden="1" customWidth="1"/>
    <col min="15390" max="15390" width="12.42578125" style="271" customWidth="1"/>
    <col min="15391" max="15391" width="15.28515625" style="271" customWidth="1"/>
    <col min="15392" max="15616" width="9.140625" style="271"/>
    <col min="15617" max="15617" width="2.28515625" style="271" customWidth="1"/>
    <col min="15618" max="15618" width="30.28515625" style="271" customWidth="1"/>
    <col min="15619" max="15619" width="4.42578125" style="271" customWidth="1"/>
    <col min="15620" max="15620" width="4" style="271" customWidth="1"/>
    <col min="15621" max="15621" width="4.28515625" style="271" customWidth="1"/>
    <col min="15622" max="15622" width="6.42578125" style="271" customWidth="1"/>
    <col min="15623" max="15624" width="8.140625" style="271" customWidth="1"/>
    <col min="15625" max="15625" width="7.28515625" style="271" customWidth="1"/>
    <col min="15626" max="15626" width="8" style="271" customWidth="1"/>
    <col min="15627" max="15627" width="7.85546875" style="271" customWidth="1"/>
    <col min="15628" max="15628" width="7.28515625" style="271" customWidth="1"/>
    <col min="15629" max="15629" width="7.42578125" style="271" customWidth="1"/>
    <col min="15630" max="15630" width="7.5703125" style="271" customWidth="1"/>
    <col min="15631" max="15631" width="7.7109375" style="271" customWidth="1"/>
    <col min="15632" max="15632" width="7.28515625" style="271" customWidth="1"/>
    <col min="15633" max="15633" width="7.85546875" style="271" customWidth="1"/>
    <col min="15634" max="15634" width="7.42578125" style="271" customWidth="1"/>
    <col min="15635" max="15635" width="15.140625" style="271" customWidth="1"/>
    <col min="15636" max="15636" width="9.42578125" style="271" customWidth="1"/>
    <col min="15637" max="15637" width="8.7109375" style="271" customWidth="1"/>
    <col min="15638" max="15645" width="0" style="271" hidden="1" customWidth="1"/>
    <col min="15646" max="15646" width="12.42578125" style="271" customWidth="1"/>
    <col min="15647" max="15647" width="15.28515625" style="271" customWidth="1"/>
    <col min="15648" max="15872" width="9.140625" style="271"/>
    <col min="15873" max="15873" width="2.28515625" style="271" customWidth="1"/>
    <col min="15874" max="15874" width="30.28515625" style="271" customWidth="1"/>
    <col min="15875" max="15875" width="4.42578125" style="271" customWidth="1"/>
    <col min="15876" max="15876" width="4" style="271" customWidth="1"/>
    <col min="15877" max="15877" width="4.28515625" style="271" customWidth="1"/>
    <col min="15878" max="15878" width="6.42578125" style="271" customWidth="1"/>
    <col min="15879" max="15880" width="8.140625" style="271" customWidth="1"/>
    <col min="15881" max="15881" width="7.28515625" style="271" customWidth="1"/>
    <col min="15882" max="15882" width="8" style="271" customWidth="1"/>
    <col min="15883" max="15883" width="7.85546875" style="271" customWidth="1"/>
    <col min="15884" max="15884" width="7.28515625" style="271" customWidth="1"/>
    <col min="15885" max="15885" width="7.42578125" style="271" customWidth="1"/>
    <col min="15886" max="15886" width="7.5703125" style="271" customWidth="1"/>
    <col min="15887" max="15887" width="7.7109375" style="271" customWidth="1"/>
    <col min="15888" max="15888" width="7.28515625" style="271" customWidth="1"/>
    <col min="15889" max="15889" width="7.85546875" style="271" customWidth="1"/>
    <col min="15890" max="15890" width="7.42578125" style="271" customWidth="1"/>
    <col min="15891" max="15891" width="15.140625" style="271" customWidth="1"/>
    <col min="15892" max="15892" width="9.42578125" style="271" customWidth="1"/>
    <col min="15893" max="15893" width="8.7109375" style="271" customWidth="1"/>
    <col min="15894" max="15901" width="0" style="271" hidden="1" customWidth="1"/>
    <col min="15902" max="15902" width="12.42578125" style="271" customWidth="1"/>
    <col min="15903" max="15903" width="15.28515625" style="271" customWidth="1"/>
    <col min="15904" max="16128" width="9.140625" style="271"/>
    <col min="16129" max="16129" width="2.28515625" style="271" customWidth="1"/>
    <col min="16130" max="16130" width="30.28515625" style="271" customWidth="1"/>
    <col min="16131" max="16131" width="4.42578125" style="271" customWidth="1"/>
    <col min="16132" max="16132" width="4" style="271" customWidth="1"/>
    <col min="16133" max="16133" width="4.28515625" style="271" customWidth="1"/>
    <col min="16134" max="16134" width="6.42578125" style="271" customWidth="1"/>
    <col min="16135" max="16136" width="8.140625" style="271" customWidth="1"/>
    <col min="16137" max="16137" width="7.28515625" style="271" customWidth="1"/>
    <col min="16138" max="16138" width="8" style="271" customWidth="1"/>
    <col min="16139" max="16139" width="7.85546875" style="271" customWidth="1"/>
    <col min="16140" max="16140" width="7.28515625" style="271" customWidth="1"/>
    <col min="16141" max="16141" width="7.42578125" style="271" customWidth="1"/>
    <col min="16142" max="16142" width="7.5703125" style="271" customWidth="1"/>
    <col min="16143" max="16143" width="7.7109375" style="271" customWidth="1"/>
    <col min="16144" max="16144" width="7.28515625" style="271" customWidth="1"/>
    <col min="16145" max="16145" width="7.85546875" style="271" customWidth="1"/>
    <col min="16146" max="16146" width="7.42578125" style="271" customWidth="1"/>
    <col min="16147" max="16147" width="15.140625" style="271" customWidth="1"/>
    <col min="16148" max="16148" width="9.42578125" style="271" customWidth="1"/>
    <col min="16149" max="16149" width="8.7109375" style="271" customWidth="1"/>
    <col min="16150" max="16157" width="0" style="271" hidden="1" customWidth="1"/>
    <col min="16158" max="16158" width="12.42578125" style="271" customWidth="1"/>
    <col min="16159" max="16159" width="15.28515625" style="271" customWidth="1"/>
    <col min="16160" max="16384" width="9.140625" style="271"/>
  </cols>
  <sheetData>
    <row r="1" spans="2:32">
      <c r="B1" s="270" t="s">
        <v>0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</row>
    <row r="2" spans="2:32">
      <c r="B2" s="270" t="s">
        <v>1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</row>
    <row r="3" spans="2:32" ht="8.25" customHeight="1">
      <c r="B3" s="706"/>
      <c r="C3" s="706"/>
      <c r="D3" s="706"/>
      <c r="E3" s="706"/>
      <c r="F3" s="706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706"/>
      <c r="T3" s="706"/>
      <c r="U3" s="706"/>
      <c r="V3" s="273"/>
      <c r="W3" s="706"/>
      <c r="X3" s="706"/>
      <c r="Y3" s="706"/>
      <c r="Z3" s="706"/>
      <c r="AA3" s="706"/>
      <c r="AB3" s="706"/>
      <c r="AC3" s="706"/>
    </row>
    <row r="4" spans="2:32" ht="12.75" customHeight="1">
      <c r="B4" s="589" t="s">
        <v>267</v>
      </c>
      <c r="C4" s="589" t="s">
        <v>3</v>
      </c>
      <c r="D4" s="1232" t="s">
        <v>341</v>
      </c>
      <c r="E4" s="1232"/>
      <c r="F4" s="1232"/>
      <c r="G4" s="1232"/>
      <c r="H4" s="1232"/>
      <c r="I4" s="1232"/>
      <c r="J4" s="1232"/>
      <c r="K4" s="1232"/>
      <c r="L4" s="1232"/>
      <c r="M4" s="240"/>
      <c r="N4" s="240"/>
      <c r="O4" s="240"/>
      <c r="P4" s="240"/>
      <c r="Q4" s="240"/>
      <c r="R4" s="240"/>
      <c r="U4" s="589"/>
      <c r="V4" s="591"/>
      <c r="W4" s="589"/>
      <c r="X4" s="589"/>
      <c r="Y4" s="589"/>
      <c r="Z4" s="589"/>
      <c r="AA4" s="706"/>
      <c r="AB4" s="706"/>
      <c r="AC4" s="706"/>
    </row>
    <row r="5" spans="2:32" ht="12.75" customHeight="1">
      <c r="B5" s="589" t="s">
        <v>117</v>
      </c>
      <c r="C5" s="589" t="s">
        <v>3</v>
      </c>
      <c r="D5" s="1232" t="s">
        <v>342</v>
      </c>
      <c r="E5" s="1232"/>
      <c r="F5" s="1232"/>
      <c r="G5" s="1232"/>
      <c r="H5" s="1232"/>
      <c r="I5" s="1232"/>
      <c r="J5" s="1232"/>
      <c r="K5" s="1232"/>
      <c r="L5" s="1232"/>
      <c r="M5" s="240"/>
      <c r="N5" s="240"/>
      <c r="O5" s="240"/>
      <c r="P5" s="240"/>
      <c r="Q5" s="240"/>
      <c r="R5" s="240"/>
      <c r="U5" s="589"/>
      <c r="V5" s="591"/>
      <c r="W5" s="589"/>
      <c r="X5" s="589"/>
      <c r="Y5" s="589"/>
      <c r="Z5" s="589"/>
      <c r="AA5" s="706"/>
      <c r="AB5" s="706"/>
      <c r="AC5" s="706"/>
    </row>
    <row r="6" spans="2:32" ht="12.75" customHeight="1">
      <c r="B6" s="589" t="s">
        <v>5</v>
      </c>
      <c r="C6" s="589" t="s">
        <v>3</v>
      </c>
      <c r="D6" s="1232" t="s">
        <v>343</v>
      </c>
      <c r="E6" s="1232"/>
      <c r="F6" s="1232"/>
      <c r="G6" s="1232"/>
      <c r="H6" s="1232"/>
      <c r="I6" s="1232"/>
      <c r="J6" s="1232"/>
      <c r="K6" s="1232"/>
      <c r="L6" s="1232"/>
      <c r="M6" s="240"/>
      <c r="N6" s="240"/>
      <c r="O6" s="240"/>
      <c r="P6" s="240"/>
      <c r="Q6" s="240"/>
      <c r="R6" s="240"/>
      <c r="U6" s="589"/>
      <c r="V6" s="591"/>
      <c r="W6" s="589"/>
      <c r="X6" s="589"/>
      <c r="Y6" s="589"/>
      <c r="Z6" s="589"/>
      <c r="AA6" s="706"/>
      <c r="AB6" s="706"/>
      <c r="AC6" s="706"/>
    </row>
    <row r="7" spans="2:32" ht="12.75" customHeight="1">
      <c r="B7" s="589" t="s">
        <v>7</v>
      </c>
      <c r="C7" s="589" t="s">
        <v>3</v>
      </c>
      <c r="D7" s="1445">
        <f>S15</f>
        <v>156905200</v>
      </c>
      <c r="E7" s="1445"/>
      <c r="F7" s="1445"/>
      <c r="G7" s="1445"/>
      <c r="H7" s="721"/>
      <c r="I7" s="721"/>
      <c r="J7" s="721"/>
      <c r="K7" s="721"/>
      <c r="L7" s="721"/>
      <c r="M7" s="721"/>
      <c r="N7" s="721"/>
      <c r="O7" s="721"/>
      <c r="P7" s="721"/>
      <c r="Q7" s="721"/>
      <c r="R7" s="721"/>
      <c r="V7" s="591"/>
      <c r="W7" s="606"/>
      <c r="X7" s="606"/>
      <c r="Y7" s="589"/>
      <c r="Z7" s="589"/>
      <c r="AA7" s="706"/>
      <c r="AB7" s="706"/>
      <c r="AC7" s="706"/>
    </row>
    <row r="8" spans="2:32" ht="9.75" customHeight="1" thickBot="1">
      <c r="B8" s="589"/>
      <c r="C8" s="589"/>
      <c r="D8" s="589"/>
      <c r="E8" s="589"/>
      <c r="F8" s="589"/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591"/>
      <c r="R8" s="591"/>
      <c r="S8" s="589"/>
      <c r="T8" s="589"/>
      <c r="U8" s="589"/>
      <c r="V8" s="591"/>
      <c r="W8" s="589"/>
      <c r="X8" s="589"/>
      <c r="Y8" s="589"/>
      <c r="Z8" s="589"/>
      <c r="AA8" s="706"/>
      <c r="AB8" s="706"/>
      <c r="AC8" s="706"/>
    </row>
    <row r="9" spans="2:32" ht="12.75" customHeight="1" thickTop="1">
      <c r="B9" s="1234" t="s">
        <v>8</v>
      </c>
      <c r="C9" s="842"/>
      <c r="D9" s="841" t="s">
        <v>9</v>
      </c>
      <c r="E9" s="842"/>
      <c r="F9" s="843" t="s">
        <v>10</v>
      </c>
      <c r="G9" s="844" t="s">
        <v>11</v>
      </c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6"/>
      <c r="S9" s="843" t="s">
        <v>7</v>
      </c>
      <c r="T9" s="843" t="s">
        <v>12</v>
      </c>
      <c r="U9" s="902" t="s">
        <v>13</v>
      </c>
      <c r="V9" s="903" t="s">
        <v>130</v>
      </c>
      <c r="W9" s="903"/>
      <c r="X9" s="903"/>
      <c r="Y9" s="904"/>
      <c r="Z9" s="905" t="s">
        <v>131</v>
      </c>
      <c r="AA9" s="903"/>
      <c r="AB9" s="904"/>
      <c r="AC9" s="906"/>
    </row>
    <row r="10" spans="2:32" ht="12.75" customHeight="1">
      <c r="B10" s="1235"/>
      <c r="C10" s="851"/>
      <c r="D10" s="850"/>
      <c r="E10" s="851"/>
      <c r="F10" s="852"/>
      <c r="G10" s="853" t="s">
        <v>14</v>
      </c>
      <c r="H10" s="854"/>
      <c r="I10" s="1236"/>
      <c r="J10" s="854" t="s">
        <v>15</v>
      </c>
      <c r="K10" s="854"/>
      <c r="L10" s="854"/>
      <c r="M10" s="1237" t="s">
        <v>16</v>
      </c>
      <c r="N10" s="854"/>
      <c r="O10" s="1236"/>
      <c r="P10" s="1237" t="s">
        <v>17</v>
      </c>
      <c r="Q10" s="854"/>
      <c r="R10" s="1236"/>
      <c r="S10" s="851"/>
      <c r="T10" s="852"/>
      <c r="U10" s="907"/>
      <c r="V10" s="908" t="s">
        <v>132</v>
      </c>
      <c r="W10" s="909"/>
      <c r="X10" s="910" t="s">
        <v>133</v>
      </c>
      <c r="Y10" s="910" t="s">
        <v>134</v>
      </c>
      <c r="Z10" s="910" t="s">
        <v>133</v>
      </c>
      <c r="AA10" s="910" t="s">
        <v>135</v>
      </c>
      <c r="AB10" s="910" t="s">
        <v>136</v>
      </c>
      <c r="AC10" s="911" t="s">
        <v>137</v>
      </c>
    </row>
    <row r="11" spans="2:32" ht="12.75" customHeight="1">
      <c r="B11" s="1235"/>
      <c r="C11" s="851"/>
      <c r="D11" s="850"/>
      <c r="E11" s="851"/>
      <c r="F11" s="852"/>
      <c r="G11" s="858" t="s">
        <v>19</v>
      </c>
      <c r="H11" s="858" t="s">
        <v>20</v>
      </c>
      <c r="I11" s="1238" t="s">
        <v>21</v>
      </c>
      <c r="J11" s="856" t="s">
        <v>22</v>
      </c>
      <c r="K11" s="858" t="s">
        <v>23</v>
      </c>
      <c r="L11" s="1239" t="s">
        <v>24</v>
      </c>
      <c r="M11" s="1240" t="s">
        <v>25</v>
      </c>
      <c r="N11" s="858" t="s">
        <v>26</v>
      </c>
      <c r="O11" s="1238" t="s">
        <v>27</v>
      </c>
      <c r="P11" s="1240" t="s">
        <v>28</v>
      </c>
      <c r="Q11" s="858" t="s">
        <v>29</v>
      </c>
      <c r="R11" s="1238" t="s">
        <v>30</v>
      </c>
      <c r="S11" s="851"/>
      <c r="T11" s="852"/>
      <c r="U11" s="907" t="s">
        <v>272</v>
      </c>
      <c r="V11" s="912" t="s">
        <v>139</v>
      </c>
      <c r="W11" s="913"/>
      <c r="X11" s="910" t="s">
        <v>140</v>
      </c>
      <c r="Y11" s="910" t="s">
        <v>141</v>
      </c>
      <c r="Z11" s="910" t="s">
        <v>142</v>
      </c>
      <c r="AA11" s="910" t="s">
        <v>143</v>
      </c>
      <c r="AB11" s="910" t="s">
        <v>141</v>
      </c>
      <c r="AC11" s="911" t="s">
        <v>144</v>
      </c>
    </row>
    <row r="12" spans="2:32" ht="12.75" customHeight="1">
      <c r="B12" s="1241"/>
      <c r="C12" s="861"/>
      <c r="D12" s="860"/>
      <c r="E12" s="861"/>
      <c r="F12" s="862"/>
      <c r="G12" s="858"/>
      <c r="H12" s="858"/>
      <c r="I12" s="1238"/>
      <c r="J12" s="856"/>
      <c r="K12" s="858"/>
      <c r="L12" s="1239"/>
      <c r="M12" s="1240"/>
      <c r="N12" s="858"/>
      <c r="O12" s="1238"/>
      <c r="P12" s="1240"/>
      <c r="Q12" s="858"/>
      <c r="R12" s="1238"/>
      <c r="S12" s="1242" t="s">
        <v>31</v>
      </c>
      <c r="T12" s="863" t="s">
        <v>31</v>
      </c>
      <c r="U12" s="907" t="s">
        <v>32</v>
      </c>
      <c r="V12" s="611"/>
      <c r="W12" s="914"/>
      <c r="X12" s="910" t="s">
        <v>32</v>
      </c>
      <c r="Y12" s="910" t="s">
        <v>32</v>
      </c>
      <c r="Z12" s="910" t="s">
        <v>31</v>
      </c>
      <c r="AA12" s="910" t="s">
        <v>32</v>
      </c>
      <c r="AB12" s="910" t="s">
        <v>32</v>
      </c>
      <c r="AC12" s="911"/>
      <c r="AE12" s="271">
        <f>SUM(G16:R16)</f>
        <v>1.0000000000000002</v>
      </c>
    </row>
    <row r="13" spans="2:32" s="325" customFormat="1" ht="9.75" customHeight="1">
      <c r="B13" s="1243">
        <v>1</v>
      </c>
      <c r="C13" s="748"/>
      <c r="D13" s="747">
        <v>2</v>
      </c>
      <c r="E13" s="748"/>
      <c r="F13" s="749">
        <v>3</v>
      </c>
      <c r="G13" s="750">
        <v>4</v>
      </c>
      <c r="H13" s="749">
        <v>5</v>
      </c>
      <c r="I13" s="1244">
        <v>6</v>
      </c>
      <c r="J13" s="749">
        <v>7</v>
      </c>
      <c r="K13" s="749">
        <v>8</v>
      </c>
      <c r="L13" s="1245">
        <v>9</v>
      </c>
      <c r="M13" s="746">
        <v>10</v>
      </c>
      <c r="N13" s="749">
        <v>11</v>
      </c>
      <c r="O13" s="1244">
        <v>12</v>
      </c>
      <c r="P13" s="746">
        <v>13</v>
      </c>
      <c r="Q13" s="749">
        <v>14</v>
      </c>
      <c r="R13" s="1244">
        <v>15</v>
      </c>
      <c r="S13" s="749">
        <v>16</v>
      </c>
      <c r="T13" s="750">
        <v>17</v>
      </c>
      <c r="U13" s="916">
        <v>18</v>
      </c>
      <c r="V13" s="917">
        <v>7</v>
      </c>
      <c r="W13" s="918"/>
      <c r="X13" s="919">
        <v>8</v>
      </c>
      <c r="Y13" s="919">
        <v>9</v>
      </c>
      <c r="Z13" s="919">
        <v>10</v>
      </c>
      <c r="AA13" s="919">
        <v>11</v>
      </c>
      <c r="AB13" s="919">
        <v>12</v>
      </c>
      <c r="AC13" s="920">
        <v>13</v>
      </c>
    </row>
    <row r="14" spans="2:32" ht="9" customHeight="1">
      <c r="B14" s="1246"/>
      <c r="C14" s="1247"/>
      <c r="D14" s="923"/>
      <c r="E14" s="924"/>
      <c r="F14" s="924"/>
      <c r="G14" s="910"/>
      <c r="H14" s="914"/>
      <c r="I14" s="1248"/>
      <c r="J14" s="914"/>
      <c r="K14" s="914"/>
      <c r="L14" s="611"/>
      <c r="M14" s="1249"/>
      <c r="N14" s="914"/>
      <c r="O14" s="1248"/>
      <c r="P14" s="1249"/>
      <c r="Q14" s="914"/>
      <c r="R14" s="1248"/>
      <c r="S14" s="924"/>
      <c r="T14" s="926"/>
      <c r="U14" s="927"/>
      <c r="V14" s="611"/>
      <c r="W14" s="924"/>
      <c r="X14" s="926"/>
      <c r="Y14" s="926"/>
      <c r="Z14" s="926"/>
      <c r="AA14" s="926"/>
      <c r="AB14" s="926"/>
      <c r="AC14" s="928"/>
    </row>
    <row r="15" spans="2:32" ht="25.5" customHeight="1">
      <c r="B15" s="1250" t="s">
        <v>343</v>
      </c>
      <c r="C15" s="755"/>
      <c r="D15" s="765"/>
      <c r="E15" s="755"/>
      <c r="F15" s="755"/>
      <c r="G15" s="1251"/>
      <c r="H15" s="1252"/>
      <c r="I15" s="1253"/>
      <c r="J15" s="1252"/>
      <c r="K15" s="1252"/>
      <c r="L15" s="1254"/>
      <c r="M15" s="1255"/>
      <c r="N15" s="1252"/>
      <c r="O15" s="1253"/>
      <c r="P15" s="1255"/>
      <c r="Q15" s="1252"/>
      <c r="R15" s="1253"/>
      <c r="S15" s="1256">
        <f>SUM(S16:S35)</f>
        <v>156905200</v>
      </c>
      <c r="T15" s="756"/>
      <c r="U15" s="1257">
        <f>SUM(U16:U35)</f>
        <v>100</v>
      </c>
      <c r="V15" s="929"/>
      <c r="W15" s="930"/>
      <c r="X15" s="931"/>
      <c r="Y15" s="931" t="e">
        <f>Y16+#REF!+#REF!+#REF!+#REF!+#REF!+#REF!+#REF!+#REF!+#REF!</f>
        <v>#REF!</v>
      </c>
      <c r="Z15" s="931" t="e">
        <f>Z16+#REF!+#REF!+#REF!+#REF!+#REF!+#REF!+#REF!+#REF!+#REF!</f>
        <v>#REF!</v>
      </c>
      <c r="AA15" s="931">
        <v>0</v>
      </c>
      <c r="AB15" s="931" t="e">
        <f>AB16+#REF!+#REF!+#REF!+#REF!+#REF!+#REF!+#REF!</f>
        <v>#REF!</v>
      </c>
      <c r="AC15" s="928"/>
      <c r="AF15" s="1258">
        <f>S15-481679740</f>
        <v>-324774540</v>
      </c>
    </row>
    <row r="16" spans="2:32" s="1259" customFormat="1" ht="27" customHeight="1">
      <c r="B16" s="1260" t="s">
        <v>344</v>
      </c>
      <c r="C16" s="1261" t="s">
        <v>275</v>
      </c>
      <c r="D16" s="1352">
        <v>1</v>
      </c>
      <c r="E16" s="1353" t="s">
        <v>53</v>
      </c>
      <c r="F16" s="1354" t="s">
        <v>345</v>
      </c>
      <c r="G16" s="1446">
        <v>0</v>
      </c>
      <c r="H16" s="1447">
        <v>0.2</v>
      </c>
      <c r="I16" s="1448">
        <v>0.4</v>
      </c>
      <c r="J16" s="1449">
        <v>0.3</v>
      </c>
      <c r="K16" s="1447">
        <v>0</v>
      </c>
      <c r="L16" s="1448">
        <v>0.1</v>
      </c>
      <c r="M16" s="1449">
        <v>0</v>
      </c>
      <c r="N16" s="1447">
        <v>0</v>
      </c>
      <c r="O16" s="1448">
        <v>0</v>
      </c>
      <c r="P16" s="1449">
        <v>0</v>
      </c>
      <c r="Q16" s="1447">
        <v>0</v>
      </c>
      <c r="R16" s="1448">
        <v>0</v>
      </c>
      <c r="S16" s="1450">
        <v>3480000</v>
      </c>
      <c r="T16" s="1275">
        <v>0</v>
      </c>
      <c r="U16" s="1361">
        <f>S16/$S$15*100</f>
        <v>2.21789972543931</v>
      </c>
      <c r="V16" s="1272">
        <v>0</v>
      </c>
      <c r="W16" s="1273" t="s">
        <v>148</v>
      </c>
      <c r="X16" s="1274">
        <f>V16/D16*100</f>
        <v>0</v>
      </c>
      <c r="Y16" s="1274">
        <f>X16*U16/100</f>
        <v>0</v>
      </c>
      <c r="Z16" s="1275">
        <f>SUM(Z17:Z18)</f>
        <v>0</v>
      </c>
      <c r="AA16" s="1274">
        <f>Z16/S16*100</f>
        <v>0</v>
      </c>
      <c r="AB16" s="1274">
        <f>AA16*U16/100</f>
        <v>0</v>
      </c>
      <c r="AC16" s="1276"/>
      <c r="AD16" s="1277">
        <f>SUM(G16:R16)</f>
        <v>1.0000000000000002</v>
      </c>
      <c r="AE16" s="1278" t="e">
        <f>S16+S21+#REF!+#REF!+S26+S31+#REF!</f>
        <v>#REF!</v>
      </c>
    </row>
    <row r="17" spans="2:32" s="1259" customFormat="1" ht="14.25" customHeight="1">
      <c r="B17" s="1331" t="s">
        <v>66</v>
      </c>
      <c r="C17" s="1332" t="s">
        <v>278</v>
      </c>
      <c r="D17" s="1333"/>
      <c r="E17" s="1334"/>
      <c r="F17" s="1332"/>
      <c r="G17" s="1335">
        <f>G16/$D$16*100</f>
        <v>0</v>
      </c>
      <c r="H17" s="1336">
        <f>H16/$D$16*100</f>
        <v>20</v>
      </c>
      <c r="I17" s="1337">
        <f>I16/$D$16*100</f>
        <v>40</v>
      </c>
      <c r="J17" s="1336">
        <f>J16/$D$16*100</f>
        <v>30</v>
      </c>
      <c r="K17" s="1336">
        <f t="shared" ref="K17:R17" si="0">K16/$D$16*100</f>
        <v>0</v>
      </c>
      <c r="L17" s="1338">
        <f t="shared" si="0"/>
        <v>10</v>
      </c>
      <c r="M17" s="1339">
        <f>M16/$D$16*100</f>
        <v>0</v>
      </c>
      <c r="N17" s="1336">
        <f t="shared" si="0"/>
        <v>0</v>
      </c>
      <c r="O17" s="1337">
        <f t="shared" si="0"/>
        <v>0</v>
      </c>
      <c r="P17" s="1339">
        <f t="shared" si="0"/>
        <v>0</v>
      </c>
      <c r="Q17" s="1336">
        <f t="shared" si="0"/>
        <v>0</v>
      </c>
      <c r="R17" s="1337">
        <f t="shared" si="0"/>
        <v>0</v>
      </c>
      <c r="S17" s="1340"/>
      <c r="T17" s="1341"/>
      <c r="U17" s="1342"/>
      <c r="V17" s="1291"/>
      <c r="W17" s="1292"/>
      <c r="X17" s="1293"/>
      <c r="Y17" s="1294"/>
      <c r="Z17" s="1295">
        <v>0</v>
      </c>
      <c r="AA17" s="1293" t="e">
        <f>Z17/S17*100</f>
        <v>#DIV/0!</v>
      </c>
      <c r="AB17" s="1293" t="e">
        <f>AA17*U17/100</f>
        <v>#DIV/0!</v>
      </c>
      <c r="AC17" s="1296"/>
      <c r="AD17" s="1297">
        <f>SUM(G17:R17)</f>
        <v>100</v>
      </c>
    </row>
    <row r="18" spans="2:32" s="1259" customFormat="1" ht="14.25" customHeight="1">
      <c r="B18" s="1331" t="s">
        <v>67</v>
      </c>
      <c r="C18" s="1343" t="s">
        <v>346</v>
      </c>
      <c r="D18" s="1333"/>
      <c r="E18" s="1334"/>
      <c r="F18" s="1332"/>
      <c r="G18" s="1335">
        <f>SUM($G$17)</f>
        <v>0</v>
      </c>
      <c r="H18" s="1336">
        <f>SUM($G$17:H17)</f>
        <v>20</v>
      </c>
      <c r="I18" s="1337">
        <f>SUM($G$17:I17)</f>
        <v>60</v>
      </c>
      <c r="J18" s="1336">
        <f>SUM($G$17:J17)</f>
        <v>90</v>
      </c>
      <c r="K18" s="1336">
        <f>SUM($G$17:K17)</f>
        <v>90</v>
      </c>
      <c r="L18" s="1338">
        <f>SUM($G$17:L17)</f>
        <v>100</v>
      </c>
      <c r="M18" s="1339">
        <f>SUM($G$17:M17)</f>
        <v>100</v>
      </c>
      <c r="N18" s="1336">
        <f>SUM($G$17:N17)</f>
        <v>100</v>
      </c>
      <c r="O18" s="1337">
        <f>SUM($G$17:O17)</f>
        <v>100</v>
      </c>
      <c r="P18" s="1339">
        <f>SUM($G$17:P17)</f>
        <v>100</v>
      </c>
      <c r="Q18" s="1336">
        <f>SUM($G$17:Q17)</f>
        <v>100</v>
      </c>
      <c r="R18" s="1337">
        <f>SUM($G$17:R17)</f>
        <v>100</v>
      </c>
      <c r="S18" s="1292"/>
      <c r="T18" s="1295"/>
      <c r="U18" s="1342"/>
      <c r="V18" s="1291"/>
      <c r="W18" s="1292"/>
      <c r="X18" s="1293"/>
      <c r="Y18" s="1294"/>
      <c r="Z18" s="1295">
        <v>0</v>
      </c>
      <c r="AA18" s="1293" t="e">
        <f>Z18/S18*100</f>
        <v>#DIV/0!</v>
      </c>
      <c r="AB18" s="1293" t="e">
        <f>AA18*U18/100</f>
        <v>#DIV/0!</v>
      </c>
      <c r="AC18" s="1296"/>
      <c r="AD18" s="1297"/>
    </row>
    <row r="19" spans="2:32" s="1259" customFormat="1" ht="14.25" customHeight="1">
      <c r="B19" s="1331" t="s">
        <v>68</v>
      </c>
      <c r="C19" s="1332" t="s">
        <v>280</v>
      </c>
      <c r="D19" s="1333"/>
      <c r="E19" s="1334"/>
      <c r="F19" s="1332"/>
      <c r="G19" s="1335">
        <f>G17*$U$16/100</f>
        <v>0</v>
      </c>
      <c r="H19" s="1336">
        <f>H17*$U$16/100</f>
        <v>0.44357994508786197</v>
      </c>
      <c r="I19" s="1337">
        <f>I17*$U$16/100</f>
        <v>0.88715989017572394</v>
      </c>
      <c r="J19" s="1336">
        <f>J17*$U$16/100</f>
        <v>0.66536991763179298</v>
      </c>
      <c r="K19" s="1336">
        <f t="shared" ref="K19:R19" si="1">K17*$U$16/100</f>
        <v>0</v>
      </c>
      <c r="L19" s="1338">
        <f t="shared" si="1"/>
        <v>0.22178997254393099</v>
      </c>
      <c r="M19" s="1339">
        <f t="shared" si="1"/>
        <v>0</v>
      </c>
      <c r="N19" s="1336">
        <f t="shared" si="1"/>
        <v>0</v>
      </c>
      <c r="O19" s="1337">
        <f t="shared" si="1"/>
        <v>0</v>
      </c>
      <c r="P19" s="1339">
        <f t="shared" si="1"/>
        <v>0</v>
      </c>
      <c r="Q19" s="1336">
        <f t="shared" si="1"/>
        <v>0</v>
      </c>
      <c r="R19" s="1337">
        <f t="shared" si="1"/>
        <v>0</v>
      </c>
      <c r="S19" s="1292"/>
      <c r="T19" s="1295"/>
      <c r="U19" s="1342"/>
      <c r="V19" s="1291"/>
      <c r="W19" s="1292"/>
      <c r="X19" s="1293"/>
      <c r="Y19" s="1294"/>
      <c r="Z19" s="1295"/>
      <c r="AA19" s="1293"/>
      <c r="AB19" s="1301"/>
      <c r="AC19" s="1296"/>
      <c r="AD19" s="1297">
        <f>SUM(H19:R19)</f>
        <v>2.21789972543931</v>
      </c>
    </row>
    <row r="20" spans="2:32" s="1259" customFormat="1" ht="7.5" customHeight="1">
      <c r="B20" s="1344"/>
      <c r="C20" s="1345"/>
      <c r="D20" s="1333"/>
      <c r="E20" s="1334"/>
      <c r="F20" s="1332"/>
      <c r="G20" s="1346"/>
      <c r="H20" s="1347"/>
      <c r="I20" s="1348"/>
      <c r="J20" s="1347"/>
      <c r="K20" s="1347"/>
      <c r="L20" s="1349"/>
      <c r="M20" s="1350"/>
      <c r="N20" s="1347"/>
      <c r="O20" s="1348"/>
      <c r="P20" s="1350"/>
      <c r="Q20" s="1347"/>
      <c r="R20" s="1348"/>
      <c r="S20" s="1292"/>
      <c r="T20" s="1295"/>
      <c r="U20" s="1342"/>
      <c r="V20" s="1291"/>
      <c r="W20" s="1292"/>
      <c r="X20" s="1293"/>
      <c r="Y20" s="1294"/>
      <c r="Z20" s="1293"/>
      <c r="AA20" s="1293"/>
      <c r="AB20" s="1308"/>
      <c r="AC20" s="1296"/>
      <c r="AD20" s="1297"/>
    </row>
    <row r="21" spans="2:32" s="1259" customFormat="1" ht="24" customHeight="1">
      <c r="B21" s="1260" t="s">
        <v>347</v>
      </c>
      <c r="C21" s="1261" t="s">
        <v>275</v>
      </c>
      <c r="D21" s="1352">
        <v>1</v>
      </c>
      <c r="E21" s="1353" t="s">
        <v>53</v>
      </c>
      <c r="F21" s="1354" t="s">
        <v>287</v>
      </c>
      <c r="G21" s="1389">
        <v>0.2</v>
      </c>
      <c r="H21" s="1447">
        <v>0.3</v>
      </c>
      <c r="I21" s="1451">
        <v>0.2</v>
      </c>
      <c r="J21" s="1447">
        <v>0.1</v>
      </c>
      <c r="K21" s="1447">
        <v>0</v>
      </c>
      <c r="L21" s="1448">
        <v>0.1</v>
      </c>
      <c r="M21" s="1449">
        <v>0.1</v>
      </c>
      <c r="N21" s="1447">
        <v>0</v>
      </c>
      <c r="O21" s="1451">
        <v>0</v>
      </c>
      <c r="P21" s="1449">
        <v>0</v>
      </c>
      <c r="Q21" s="1447">
        <v>0</v>
      </c>
      <c r="R21" s="1448">
        <v>0</v>
      </c>
      <c r="S21" s="1452">
        <v>27820000</v>
      </c>
      <c r="T21" s="1275">
        <v>0</v>
      </c>
      <c r="U21" s="1361">
        <f>S21/$S$15*100</f>
        <v>17.730451253368276</v>
      </c>
      <c r="V21" s="1272">
        <v>1</v>
      </c>
      <c r="W21" s="1273" t="s">
        <v>148</v>
      </c>
      <c r="X21" s="1274">
        <f>V21/D21*100</f>
        <v>100</v>
      </c>
      <c r="Y21" s="1274">
        <f>X21*U21/100</f>
        <v>17.730451253368276</v>
      </c>
      <c r="Z21" s="1275" t="e">
        <f>SUM(Z22:Z38)</f>
        <v>#REF!</v>
      </c>
      <c r="AA21" s="1274" t="e">
        <f>Z21/S21*100</f>
        <v>#REF!</v>
      </c>
      <c r="AB21" s="1274" t="e">
        <f>AA21*U21/100</f>
        <v>#REF!</v>
      </c>
      <c r="AC21" s="1310"/>
      <c r="AD21" s="1297">
        <f>SUM(G21:R21)</f>
        <v>0.99999999999999989</v>
      </c>
      <c r="AE21" s="1259">
        <f>SUM(G21:R21)</f>
        <v>0.99999999999999989</v>
      </c>
      <c r="AF21" s="1259">
        <v>900000</v>
      </c>
    </row>
    <row r="22" spans="2:32" s="1259" customFormat="1" ht="13.5" customHeight="1">
      <c r="B22" s="1331" t="s">
        <v>66</v>
      </c>
      <c r="C22" s="1332" t="s">
        <v>278</v>
      </c>
      <c r="D22" s="1333"/>
      <c r="E22" s="1334"/>
      <c r="F22" s="1332"/>
      <c r="G22" s="1335">
        <f>G21/$D$21*100</f>
        <v>20</v>
      </c>
      <c r="H22" s="1336">
        <f t="shared" ref="H22:R22" si="2">H21/$D$21*100</f>
        <v>30</v>
      </c>
      <c r="I22" s="1337">
        <f t="shared" si="2"/>
        <v>20</v>
      </c>
      <c r="J22" s="1336">
        <f>J21/$D$21*100</f>
        <v>10</v>
      </c>
      <c r="K22" s="1336">
        <f t="shared" si="2"/>
        <v>0</v>
      </c>
      <c r="L22" s="1338">
        <f t="shared" si="2"/>
        <v>10</v>
      </c>
      <c r="M22" s="1339">
        <f>M21/$D$21*100</f>
        <v>10</v>
      </c>
      <c r="N22" s="1336">
        <f t="shared" si="2"/>
        <v>0</v>
      </c>
      <c r="O22" s="1337">
        <f t="shared" si="2"/>
        <v>0</v>
      </c>
      <c r="P22" s="1339">
        <f t="shared" si="2"/>
        <v>0</v>
      </c>
      <c r="Q22" s="1336">
        <f t="shared" si="2"/>
        <v>0</v>
      </c>
      <c r="R22" s="1337">
        <f t="shared" si="2"/>
        <v>0</v>
      </c>
      <c r="S22" s="1340"/>
      <c r="T22" s="1341"/>
      <c r="U22" s="1342"/>
      <c r="V22" s="1291"/>
      <c r="W22" s="1292"/>
      <c r="X22" s="1293"/>
      <c r="Y22" s="1294"/>
      <c r="Z22" s="1295">
        <v>0</v>
      </c>
      <c r="AA22" s="1293" t="e">
        <f>Z22/S22*100</f>
        <v>#DIV/0!</v>
      </c>
      <c r="AB22" s="1293" t="e">
        <f>AA22*U22/100</f>
        <v>#DIV/0!</v>
      </c>
      <c r="AC22" s="1310"/>
      <c r="AD22" s="1297">
        <f>SUM(G22:R22)</f>
        <v>100</v>
      </c>
      <c r="AF22" s="1259">
        <v>150000</v>
      </c>
    </row>
    <row r="23" spans="2:32" s="1259" customFormat="1" ht="13.5" customHeight="1">
      <c r="B23" s="1331" t="s">
        <v>67</v>
      </c>
      <c r="C23" s="1343" t="s">
        <v>346</v>
      </c>
      <c r="D23" s="1333"/>
      <c r="E23" s="1334"/>
      <c r="F23" s="1332"/>
      <c r="G23" s="1335">
        <f>SUM($G$22)</f>
        <v>20</v>
      </c>
      <c r="H23" s="1336">
        <f>SUM($G$22:H22)</f>
        <v>50</v>
      </c>
      <c r="I23" s="1337">
        <f>SUM($G$22:I22)</f>
        <v>70</v>
      </c>
      <c r="J23" s="1336">
        <f>SUM($G$22:J22)</f>
        <v>80</v>
      </c>
      <c r="K23" s="1336">
        <f>SUM($G$22:K22)</f>
        <v>80</v>
      </c>
      <c r="L23" s="1338">
        <f>SUM($G$22:L22)</f>
        <v>90</v>
      </c>
      <c r="M23" s="1339">
        <f>SUM($G$22:M22)</f>
        <v>100</v>
      </c>
      <c r="N23" s="1336">
        <f>SUM($G$22:N22)</f>
        <v>100</v>
      </c>
      <c r="O23" s="1337">
        <f>SUM($G$22:O22)</f>
        <v>100</v>
      </c>
      <c r="P23" s="1339">
        <f>SUM($G$22:P22)</f>
        <v>100</v>
      </c>
      <c r="Q23" s="1336">
        <f>SUM($G$22:Q22)</f>
        <v>100</v>
      </c>
      <c r="R23" s="1337">
        <f>SUM($G$22:R22)</f>
        <v>100</v>
      </c>
      <c r="S23" s="1292"/>
      <c r="T23" s="1295"/>
      <c r="U23" s="1342"/>
      <c r="V23" s="1291"/>
      <c r="W23" s="1292"/>
      <c r="X23" s="1293"/>
      <c r="Y23" s="1294"/>
      <c r="Z23" s="1295">
        <v>0</v>
      </c>
      <c r="AA23" s="1293" t="e">
        <f>Z23/S23*100</f>
        <v>#DIV/0!</v>
      </c>
      <c r="AB23" s="1293" t="e">
        <f>AA23*U23/100</f>
        <v>#DIV/0!</v>
      </c>
      <c r="AC23" s="1310"/>
      <c r="AD23" s="1297">
        <f>SUM(G23:R23)</f>
        <v>990</v>
      </c>
      <c r="AF23" s="1259">
        <v>690000</v>
      </c>
    </row>
    <row r="24" spans="2:32" s="1259" customFormat="1" ht="13.5" customHeight="1">
      <c r="B24" s="1331" t="s">
        <v>68</v>
      </c>
      <c r="C24" s="1332" t="s">
        <v>280</v>
      </c>
      <c r="D24" s="1333"/>
      <c r="E24" s="1334"/>
      <c r="F24" s="1332"/>
      <c r="G24" s="1335">
        <f>G22*$U$21/100</f>
        <v>3.5460902506736551</v>
      </c>
      <c r="H24" s="1336">
        <f>H22*$U$21/100</f>
        <v>5.3191353760104825</v>
      </c>
      <c r="I24" s="1337">
        <f t="shared" ref="I24:R24" si="3">I22*$U$21/100</f>
        <v>3.5460902506736551</v>
      </c>
      <c r="J24" s="1336">
        <f t="shared" si="3"/>
        <v>1.7730451253368276</v>
      </c>
      <c r="K24" s="1336">
        <f t="shared" si="3"/>
        <v>0</v>
      </c>
      <c r="L24" s="1338">
        <f t="shared" si="3"/>
        <v>1.7730451253368276</v>
      </c>
      <c r="M24" s="1339">
        <f t="shared" si="3"/>
        <v>1.7730451253368276</v>
      </c>
      <c r="N24" s="1336">
        <f t="shared" si="3"/>
        <v>0</v>
      </c>
      <c r="O24" s="1337">
        <f t="shared" si="3"/>
        <v>0</v>
      </c>
      <c r="P24" s="1339">
        <f t="shared" si="3"/>
        <v>0</v>
      </c>
      <c r="Q24" s="1336">
        <f t="shared" si="3"/>
        <v>0</v>
      </c>
      <c r="R24" s="1337">
        <f t="shared" si="3"/>
        <v>0</v>
      </c>
      <c r="S24" s="1292"/>
      <c r="T24" s="1295"/>
      <c r="U24" s="1342"/>
      <c r="V24" s="1291"/>
      <c r="W24" s="1292"/>
      <c r="X24" s="1293"/>
      <c r="Y24" s="1294"/>
      <c r="Z24" s="1295"/>
      <c r="AA24" s="1293"/>
      <c r="AB24" s="1293"/>
      <c r="AC24" s="1310"/>
      <c r="AD24" s="1297"/>
      <c r="AF24" s="1259">
        <v>13872000</v>
      </c>
    </row>
    <row r="25" spans="2:32" s="1259" customFormat="1" ht="7.5" customHeight="1">
      <c r="B25" s="1344"/>
      <c r="C25" s="1345"/>
      <c r="D25" s="1333"/>
      <c r="E25" s="1334"/>
      <c r="F25" s="1332"/>
      <c r="G25" s="1346"/>
      <c r="H25" s="1347"/>
      <c r="I25" s="1348"/>
      <c r="J25" s="1347"/>
      <c r="K25" s="1347"/>
      <c r="L25" s="1349"/>
      <c r="M25" s="1350"/>
      <c r="N25" s="1347"/>
      <c r="O25" s="1348"/>
      <c r="P25" s="1350"/>
      <c r="Q25" s="1347"/>
      <c r="R25" s="1348"/>
      <c r="S25" s="1292"/>
      <c r="T25" s="1295"/>
      <c r="U25" s="1342"/>
      <c r="V25" s="1291"/>
      <c r="W25" s="1292"/>
      <c r="X25" s="1293"/>
      <c r="Y25" s="1294"/>
      <c r="Z25" s="1293"/>
      <c r="AA25" s="1293"/>
      <c r="AB25" s="1308"/>
      <c r="AC25" s="1310"/>
      <c r="AD25" s="1297"/>
      <c r="AF25" s="1259">
        <v>4600000</v>
      </c>
    </row>
    <row r="26" spans="2:32" s="1259" customFormat="1" ht="35.25" customHeight="1">
      <c r="B26" s="1260" t="s">
        <v>348</v>
      </c>
      <c r="C26" s="1261" t="s">
        <v>275</v>
      </c>
      <c r="D26" s="1352">
        <v>76</v>
      </c>
      <c r="E26" s="1353" t="s">
        <v>276</v>
      </c>
      <c r="F26" s="1354" t="s">
        <v>287</v>
      </c>
      <c r="G26" s="1389">
        <v>0</v>
      </c>
      <c r="H26" s="1356">
        <v>0</v>
      </c>
      <c r="I26" s="1357">
        <v>76</v>
      </c>
      <c r="J26" s="1356">
        <v>0</v>
      </c>
      <c r="K26" s="1356">
        <v>0</v>
      </c>
      <c r="L26" s="1358">
        <v>0</v>
      </c>
      <c r="M26" s="1359">
        <v>0</v>
      </c>
      <c r="N26" s="1356">
        <v>0</v>
      </c>
      <c r="O26" s="1357">
        <v>0</v>
      </c>
      <c r="P26" s="1359">
        <v>0</v>
      </c>
      <c r="Q26" s="1356">
        <v>0</v>
      </c>
      <c r="R26" s="1357">
        <v>0</v>
      </c>
      <c r="S26" s="1360">
        <v>106075200</v>
      </c>
      <c r="T26" s="1275">
        <v>0</v>
      </c>
      <c r="U26" s="1361">
        <f>S26/$S$15*100</f>
        <v>67.60464280342525</v>
      </c>
      <c r="V26" s="1272">
        <v>1</v>
      </c>
      <c r="W26" s="1273" t="s">
        <v>148</v>
      </c>
      <c r="X26" s="1274">
        <f>V26/D26*100</f>
        <v>1.3157894736842104</v>
      </c>
      <c r="Y26" s="1274">
        <f>X26*U26/100</f>
        <v>0.88953477372927947</v>
      </c>
      <c r="Z26" s="1275" t="e">
        <f>SUM(Z27:Z43)</f>
        <v>#REF!</v>
      </c>
      <c r="AA26" s="1274" t="e">
        <f>Z26/S26*100</f>
        <v>#REF!</v>
      </c>
      <c r="AB26" s="1274" t="e">
        <f>AA26*U26/100</f>
        <v>#REF!</v>
      </c>
      <c r="AC26" s="1310"/>
      <c r="AD26" s="1297">
        <f>SUM(G26:R26)</f>
        <v>76</v>
      </c>
      <c r="AF26" s="1259">
        <v>8900000</v>
      </c>
    </row>
    <row r="27" spans="2:32" s="1259" customFormat="1" ht="15" customHeight="1">
      <c r="B27" s="1331" t="s">
        <v>66</v>
      </c>
      <c r="C27" s="1332" t="s">
        <v>278</v>
      </c>
      <c r="D27" s="1333"/>
      <c r="E27" s="1334"/>
      <c r="F27" s="1332"/>
      <c r="G27" s="1335">
        <f t="shared" ref="G27:R27" si="4">G26/$D$26*100</f>
        <v>0</v>
      </c>
      <c r="H27" s="1336">
        <f t="shared" si="4"/>
        <v>0</v>
      </c>
      <c r="I27" s="1337">
        <f t="shared" si="4"/>
        <v>100</v>
      </c>
      <c r="J27" s="1336">
        <f t="shared" si="4"/>
        <v>0</v>
      </c>
      <c r="K27" s="1336">
        <f t="shared" si="4"/>
        <v>0</v>
      </c>
      <c r="L27" s="1338">
        <f t="shared" si="4"/>
        <v>0</v>
      </c>
      <c r="M27" s="1339">
        <f t="shared" si="4"/>
        <v>0</v>
      </c>
      <c r="N27" s="1336">
        <f t="shared" si="4"/>
        <v>0</v>
      </c>
      <c r="O27" s="1337">
        <f t="shared" si="4"/>
        <v>0</v>
      </c>
      <c r="P27" s="1339">
        <f t="shared" si="4"/>
        <v>0</v>
      </c>
      <c r="Q27" s="1336">
        <f t="shared" si="4"/>
        <v>0</v>
      </c>
      <c r="R27" s="1337">
        <f t="shared" si="4"/>
        <v>0</v>
      </c>
      <c r="S27" s="1340"/>
      <c r="T27" s="1341"/>
      <c r="U27" s="1342"/>
      <c r="V27" s="1291"/>
      <c r="W27" s="1292"/>
      <c r="X27" s="1293"/>
      <c r="Y27" s="1294"/>
      <c r="Z27" s="1295">
        <v>0</v>
      </c>
      <c r="AA27" s="1293" t="e">
        <f>Z27/S27*100</f>
        <v>#DIV/0!</v>
      </c>
      <c r="AB27" s="1293" t="e">
        <f>AA27*U27/100</f>
        <v>#DIV/0!</v>
      </c>
      <c r="AC27" s="1310"/>
      <c r="AD27" s="1297">
        <f>SUM(G27:R27)</f>
        <v>100</v>
      </c>
    </row>
    <row r="28" spans="2:32" s="1259" customFormat="1" ht="15" customHeight="1">
      <c r="B28" s="1331" t="s">
        <v>67</v>
      </c>
      <c r="C28" s="1343" t="s">
        <v>346</v>
      </c>
      <c r="D28" s="1333"/>
      <c r="E28" s="1334"/>
      <c r="F28" s="1332"/>
      <c r="G28" s="1335">
        <f>SUM($G$27)</f>
        <v>0</v>
      </c>
      <c r="H28" s="1336">
        <f>SUM($G$27:H27)</f>
        <v>0</v>
      </c>
      <c r="I28" s="1337">
        <f>SUM($G$27:$I$27)</f>
        <v>100</v>
      </c>
      <c r="J28" s="1336">
        <f>SUM($G$27:J27)</f>
        <v>100</v>
      </c>
      <c r="K28" s="1336">
        <f>SUM($G$27:$K$27)</f>
        <v>100</v>
      </c>
      <c r="L28" s="1338">
        <f>SUM($G$27:L27)</f>
        <v>100</v>
      </c>
      <c r="M28" s="1339">
        <f>SUM($G$27:$M$27)</f>
        <v>100</v>
      </c>
      <c r="N28" s="1336">
        <f>SUM($G$27:N27)</f>
        <v>100</v>
      </c>
      <c r="O28" s="1337">
        <f>SUM($G$27:$O$27)</f>
        <v>100</v>
      </c>
      <c r="P28" s="1339">
        <f>SUM($G$27:P27)</f>
        <v>100</v>
      </c>
      <c r="Q28" s="1336">
        <f>SUM($G$27:$Q$27)</f>
        <v>100</v>
      </c>
      <c r="R28" s="1337">
        <f>SUM($G$27:R27)</f>
        <v>100</v>
      </c>
      <c r="S28" s="1292"/>
      <c r="T28" s="1295"/>
      <c r="U28" s="1342"/>
      <c r="V28" s="1291"/>
      <c r="W28" s="1292"/>
      <c r="X28" s="1293"/>
      <c r="Y28" s="1294"/>
      <c r="Z28" s="1295">
        <v>0</v>
      </c>
      <c r="AA28" s="1293" t="e">
        <f>Z28/S28*100</f>
        <v>#DIV/0!</v>
      </c>
      <c r="AB28" s="1293" t="e">
        <f>AA28*U28/100</f>
        <v>#DIV/0!</v>
      </c>
      <c r="AC28" s="1310"/>
      <c r="AD28" s="1297"/>
    </row>
    <row r="29" spans="2:32" s="1259" customFormat="1" ht="15" customHeight="1">
      <c r="B29" s="1331" t="s">
        <v>68</v>
      </c>
      <c r="C29" s="1332" t="s">
        <v>280</v>
      </c>
      <c r="D29" s="1333"/>
      <c r="E29" s="1334"/>
      <c r="F29" s="1332"/>
      <c r="G29" s="1335">
        <f>G27*$U$26/100</f>
        <v>0</v>
      </c>
      <c r="H29" s="1336">
        <f>H27*$U$26/100</f>
        <v>0</v>
      </c>
      <c r="I29" s="1337">
        <f t="shared" ref="I29:R29" si="5">I27*$U$26/100</f>
        <v>67.60464280342525</v>
      </c>
      <c r="J29" s="1336">
        <f t="shared" si="5"/>
        <v>0</v>
      </c>
      <c r="K29" s="1336">
        <f t="shared" si="5"/>
        <v>0</v>
      </c>
      <c r="L29" s="1338">
        <f t="shared" si="5"/>
        <v>0</v>
      </c>
      <c r="M29" s="1339">
        <f t="shared" si="5"/>
        <v>0</v>
      </c>
      <c r="N29" s="1336">
        <f t="shared" si="5"/>
        <v>0</v>
      </c>
      <c r="O29" s="1337">
        <f t="shared" si="5"/>
        <v>0</v>
      </c>
      <c r="P29" s="1339">
        <f t="shared" si="5"/>
        <v>0</v>
      </c>
      <c r="Q29" s="1336">
        <f t="shared" si="5"/>
        <v>0</v>
      </c>
      <c r="R29" s="1337">
        <f t="shared" si="5"/>
        <v>0</v>
      </c>
      <c r="S29" s="1292"/>
      <c r="T29" s="1295"/>
      <c r="U29" s="1342"/>
      <c r="V29" s="1291"/>
      <c r="W29" s="1292"/>
      <c r="X29" s="1293"/>
      <c r="Y29" s="1294"/>
      <c r="Z29" s="1295"/>
      <c r="AA29" s="1293"/>
      <c r="AB29" s="1293"/>
      <c r="AC29" s="1310"/>
      <c r="AD29" s="1297"/>
    </row>
    <row r="30" spans="2:32" s="1259" customFormat="1" ht="7.5" customHeight="1">
      <c r="B30" s="1344"/>
      <c r="C30" s="1345"/>
      <c r="D30" s="1333"/>
      <c r="E30" s="1334"/>
      <c r="F30" s="1332"/>
      <c r="G30" s="1346"/>
      <c r="H30" s="1347"/>
      <c r="I30" s="1348"/>
      <c r="J30" s="1347"/>
      <c r="K30" s="1347"/>
      <c r="L30" s="1349"/>
      <c r="M30" s="1350"/>
      <c r="N30" s="1347"/>
      <c r="O30" s="1348"/>
      <c r="P30" s="1350"/>
      <c r="Q30" s="1347"/>
      <c r="R30" s="1348"/>
      <c r="S30" s="1292"/>
      <c r="T30" s="1295"/>
      <c r="U30" s="1342"/>
      <c r="V30" s="1291"/>
      <c r="W30" s="1292"/>
      <c r="X30" s="1293"/>
      <c r="Y30" s="1294"/>
      <c r="Z30" s="1293"/>
      <c r="AA30" s="1293"/>
      <c r="AB30" s="1330"/>
      <c r="AC30" s="1310"/>
      <c r="AD30" s="1297"/>
    </row>
    <row r="31" spans="2:32" s="1259" customFormat="1" ht="25.5" customHeight="1">
      <c r="B31" s="1260" t="s">
        <v>349</v>
      </c>
      <c r="C31" s="1261" t="s">
        <v>275</v>
      </c>
      <c r="D31" s="1352">
        <v>1</v>
      </c>
      <c r="E31" s="1353" t="s">
        <v>53</v>
      </c>
      <c r="F31" s="1354" t="s">
        <v>287</v>
      </c>
      <c r="G31" s="1446">
        <v>0.2</v>
      </c>
      <c r="H31" s="1447">
        <v>0.1</v>
      </c>
      <c r="I31" s="1451">
        <v>0.3</v>
      </c>
      <c r="J31" s="1447">
        <v>0</v>
      </c>
      <c r="K31" s="1447">
        <v>0.2</v>
      </c>
      <c r="L31" s="1448">
        <v>0</v>
      </c>
      <c r="M31" s="1449">
        <v>0.1</v>
      </c>
      <c r="N31" s="1447">
        <v>0</v>
      </c>
      <c r="O31" s="1451">
        <v>0.1</v>
      </c>
      <c r="P31" s="1449">
        <v>0</v>
      </c>
      <c r="Q31" s="1447">
        <v>0</v>
      </c>
      <c r="R31" s="1451">
        <v>0</v>
      </c>
      <c r="S31" s="1360">
        <v>19530000</v>
      </c>
      <c r="T31" s="1275">
        <v>0</v>
      </c>
      <c r="U31" s="1361">
        <f>S31/$S$15*100</f>
        <v>12.447006217767163</v>
      </c>
      <c r="V31" s="1272">
        <v>1</v>
      </c>
      <c r="W31" s="1273" t="s">
        <v>148</v>
      </c>
      <c r="X31" s="1274">
        <f>V31/D31*100</f>
        <v>100</v>
      </c>
      <c r="Y31" s="1274">
        <f>X31*U31/100</f>
        <v>12.447006217767161</v>
      </c>
      <c r="Z31" s="1275" t="e">
        <f>SUM(Z32:Z48)</f>
        <v>#REF!</v>
      </c>
      <c r="AA31" s="1274" t="e">
        <f>Z31/S31*100</f>
        <v>#REF!</v>
      </c>
      <c r="AB31" s="1274" t="e">
        <f>AA31*U31/100</f>
        <v>#REF!</v>
      </c>
      <c r="AC31" s="1310"/>
      <c r="AD31" s="1297">
        <f>SUM(G31:R31)</f>
        <v>1</v>
      </c>
    </row>
    <row r="32" spans="2:32" s="1259" customFormat="1" ht="15" customHeight="1">
      <c r="B32" s="1331" t="s">
        <v>66</v>
      </c>
      <c r="C32" s="1332" t="s">
        <v>278</v>
      </c>
      <c r="D32" s="1333"/>
      <c r="E32" s="1334"/>
      <c r="F32" s="1332"/>
      <c r="G32" s="1335">
        <f>G31/$D$31*100</f>
        <v>20</v>
      </c>
      <c r="H32" s="1336">
        <f>H31/$D$31*100</f>
        <v>10</v>
      </c>
      <c r="I32" s="1337">
        <f>I31/$D$31*100</f>
        <v>30</v>
      </c>
      <c r="J32" s="1336">
        <f t="shared" ref="J32:R32" si="6">J31/$D$31*100</f>
        <v>0</v>
      </c>
      <c r="K32" s="1336">
        <f t="shared" si="6"/>
        <v>20</v>
      </c>
      <c r="L32" s="1338">
        <f t="shared" si="6"/>
        <v>0</v>
      </c>
      <c r="M32" s="1339">
        <f t="shared" si="6"/>
        <v>10</v>
      </c>
      <c r="N32" s="1336">
        <f t="shared" si="6"/>
        <v>0</v>
      </c>
      <c r="O32" s="1337">
        <f t="shared" si="6"/>
        <v>10</v>
      </c>
      <c r="P32" s="1339">
        <f t="shared" si="6"/>
        <v>0</v>
      </c>
      <c r="Q32" s="1336">
        <f t="shared" si="6"/>
        <v>0</v>
      </c>
      <c r="R32" s="1337">
        <f t="shared" si="6"/>
        <v>0</v>
      </c>
      <c r="S32" s="1340"/>
      <c r="T32" s="1341"/>
      <c r="U32" s="1342"/>
      <c r="V32" s="1291"/>
      <c r="W32" s="1292"/>
      <c r="X32" s="1293"/>
      <c r="Y32" s="1294"/>
      <c r="Z32" s="1295">
        <v>0</v>
      </c>
      <c r="AA32" s="1293" t="e">
        <f>Z32/S32*100</f>
        <v>#DIV/0!</v>
      </c>
      <c r="AB32" s="1293" t="e">
        <f>AA32*U32/100</f>
        <v>#DIV/0!</v>
      </c>
      <c r="AC32" s="1310"/>
      <c r="AD32" s="1297"/>
    </row>
    <row r="33" spans="2:30" s="1259" customFormat="1" ht="15" customHeight="1">
      <c r="B33" s="1331" t="s">
        <v>67</v>
      </c>
      <c r="C33" s="1343" t="s">
        <v>346</v>
      </c>
      <c r="D33" s="1333"/>
      <c r="E33" s="1334"/>
      <c r="F33" s="1332"/>
      <c r="G33" s="1335">
        <f>SUM($G$32)</f>
        <v>20</v>
      </c>
      <c r="H33" s="1336">
        <f>SUM($G$32:H32)</f>
        <v>30</v>
      </c>
      <c r="I33" s="1337">
        <f>SUM($G$32:I32)</f>
        <v>60</v>
      </c>
      <c r="J33" s="1336">
        <f>SUM($G$32:J32)</f>
        <v>60</v>
      </c>
      <c r="K33" s="1336">
        <f>SUM($G$32:K32)</f>
        <v>80</v>
      </c>
      <c r="L33" s="1338">
        <f>SUM($G$32:L32)</f>
        <v>80</v>
      </c>
      <c r="M33" s="1339">
        <f>SUM($G$32:M32)</f>
        <v>90</v>
      </c>
      <c r="N33" s="1336">
        <f>SUM($G$32:N32)</f>
        <v>90</v>
      </c>
      <c r="O33" s="1337">
        <f>SUM($G$32:O32)</f>
        <v>100</v>
      </c>
      <c r="P33" s="1339">
        <f>SUM($G$32:P32)</f>
        <v>100</v>
      </c>
      <c r="Q33" s="1336">
        <f>SUM($G$32:Q32)</f>
        <v>100</v>
      </c>
      <c r="R33" s="1337">
        <f>SUM($G$32:R32)</f>
        <v>100</v>
      </c>
      <c r="S33" s="1292"/>
      <c r="T33" s="1295"/>
      <c r="U33" s="1342"/>
      <c r="V33" s="1291"/>
      <c r="W33" s="1292"/>
      <c r="X33" s="1293"/>
      <c r="Y33" s="1294"/>
      <c r="Z33" s="1295">
        <v>0</v>
      </c>
      <c r="AA33" s="1293" t="e">
        <f>Z33/S33*100</f>
        <v>#DIV/0!</v>
      </c>
      <c r="AB33" s="1293" t="e">
        <f>AA33*U33/100</f>
        <v>#DIV/0!</v>
      </c>
      <c r="AC33" s="1310"/>
      <c r="AD33" s="1297"/>
    </row>
    <row r="34" spans="2:30" s="1259" customFormat="1" ht="15" customHeight="1">
      <c r="B34" s="1331" t="s">
        <v>68</v>
      </c>
      <c r="C34" s="1332" t="s">
        <v>280</v>
      </c>
      <c r="D34" s="1333"/>
      <c r="E34" s="1334"/>
      <c r="F34" s="1332"/>
      <c r="G34" s="1335">
        <f>G32*$U$31/100</f>
        <v>2.4894012435534325</v>
      </c>
      <c r="H34" s="1336">
        <f t="shared" ref="H34:R34" si="7">H32*$U$31/100</f>
        <v>1.2447006217767163</v>
      </c>
      <c r="I34" s="1337">
        <f t="shared" si="7"/>
        <v>3.7341018653301488</v>
      </c>
      <c r="J34" s="1336">
        <f t="shared" si="7"/>
        <v>0</v>
      </c>
      <c r="K34" s="1336">
        <f t="shared" si="7"/>
        <v>2.4894012435534325</v>
      </c>
      <c r="L34" s="1338">
        <f t="shared" si="7"/>
        <v>0</v>
      </c>
      <c r="M34" s="1339">
        <f t="shared" si="7"/>
        <v>1.2447006217767163</v>
      </c>
      <c r="N34" s="1336">
        <f t="shared" si="7"/>
        <v>0</v>
      </c>
      <c r="O34" s="1337">
        <f t="shared" si="7"/>
        <v>1.2447006217767163</v>
      </c>
      <c r="P34" s="1339">
        <f t="shared" si="7"/>
        <v>0</v>
      </c>
      <c r="Q34" s="1336">
        <f t="shared" si="7"/>
        <v>0</v>
      </c>
      <c r="R34" s="1337">
        <f t="shared" si="7"/>
        <v>0</v>
      </c>
      <c r="S34" s="1292"/>
      <c r="T34" s="1295"/>
      <c r="U34" s="1342"/>
      <c r="V34" s="1291"/>
      <c r="W34" s="1292"/>
      <c r="X34" s="1293"/>
      <c r="Y34" s="1294"/>
      <c r="Z34" s="1295"/>
      <c r="AA34" s="1293"/>
      <c r="AB34" s="1293"/>
      <c r="AC34" s="1310"/>
      <c r="AD34" s="1297"/>
    </row>
    <row r="35" spans="2:30" s="1259" customFormat="1" ht="7.5" customHeight="1">
      <c r="B35" s="1344"/>
      <c r="C35" s="1345"/>
      <c r="D35" s="1333"/>
      <c r="E35" s="1334"/>
      <c r="F35" s="1453"/>
      <c r="G35" s="1454"/>
      <c r="H35" s="1455"/>
      <c r="I35" s="1456"/>
      <c r="J35" s="1455"/>
      <c r="K35" s="1455"/>
      <c r="L35" s="1457"/>
      <c r="M35" s="1458"/>
      <c r="N35" s="1455"/>
      <c r="O35" s="1456"/>
      <c r="P35" s="1458"/>
      <c r="Q35" s="1455"/>
      <c r="R35" s="1456"/>
      <c r="S35" s="1292"/>
      <c r="T35" s="1295"/>
      <c r="U35" s="1342"/>
      <c r="V35" s="1291"/>
      <c r="W35" s="1292"/>
      <c r="X35" s="1293"/>
      <c r="Y35" s="1294"/>
      <c r="Z35" s="1293"/>
      <c r="AA35" s="1293"/>
      <c r="AB35" s="1330"/>
      <c r="AC35" s="1310"/>
      <c r="AD35" s="1297"/>
    </row>
    <row r="36" spans="2:30" ht="18" customHeight="1" thickBot="1">
      <c r="B36" s="1404" t="s">
        <v>41</v>
      </c>
      <c r="C36" s="1405" t="s">
        <v>291</v>
      </c>
      <c r="D36" s="816"/>
      <c r="E36" s="817"/>
      <c r="F36" s="818"/>
      <c r="G36" s="1459">
        <f>G19+G24+G29+G34</f>
        <v>6.0354914942270881</v>
      </c>
      <c r="H36" s="1459">
        <f t="shared" ref="H36:R36" si="8">H19+H24+H29+H34</f>
        <v>7.0074159428750606</v>
      </c>
      <c r="I36" s="1459">
        <f t="shared" si="8"/>
        <v>75.771994809604777</v>
      </c>
      <c r="J36" s="1459">
        <f t="shared" si="8"/>
        <v>2.4384150429686207</v>
      </c>
      <c r="K36" s="1459">
        <f t="shared" si="8"/>
        <v>2.4894012435534325</v>
      </c>
      <c r="L36" s="1459">
        <f t="shared" si="8"/>
        <v>1.9948350978807585</v>
      </c>
      <c r="M36" s="1459">
        <f t="shared" si="8"/>
        <v>3.017745747113544</v>
      </c>
      <c r="N36" s="1459">
        <f t="shared" si="8"/>
        <v>0</v>
      </c>
      <c r="O36" s="1459">
        <f t="shared" si="8"/>
        <v>1.2447006217767163</v>
      </c>
      <c r="P36" s="1459">
        <f t="shared" si="8"/>
        <v>0</v>
      </c>
      <c r="Q36" s="1459">
        <f t="shared" si="8"/>
        <v>0</v>
      </c>
      <c r="R36" s="1459">
        <f t="shared" si="8"/>
        <v>0</v>
      </c>
      <c r="S36" s="1410"/>
      <c r="T36" s="820"/>
      <c r="U36" s="996"/>
      <c r="V36" s="997"/>
      <c r="W36" s="998"/>
      <c r="X36" s="999"/>
      <c r="Y36" s="999">
        <f>SUM(Y16:Y35)</f>
        <v>31.066992244864718</v>
      </c>
      <c r="Z36" s="1000" t="e">
        <f>Z15</f>
        <v>#REF!</v>
      </c>
      <c r="AA36" s="1000">
        <f>AA15</f>
        <v>0</v>
      </c>
      <c r="AB36" s="1001" t="e">
        <f>AB16+#REF!+#REF!+#REF!+#REF!+#REF!+#REF!</f>
        <v>#REF!</v>
      </c>
      <c r="AC36" s="1002"/>
      <c r="AD36" s="1297">
        <f>SUM(G36:R36)</f>
        <v>99.999999999999986</v>
      </c>
    </row>
    <row r="37" spans="2:30" ht="21" customHeight="1" thickTop="1" thickBot="1">
      <c r="B37" s="1411" t="s">
        <v>42</v>
      </c>
      <c r="C37" s="1412" t="s">
        <v>292</v>
      </c>
      <c r="D37" s="1413"/>
      <c r="E37" s="420"/>
      <c r="F37" s="421"/>
      <c r="G37" s="1460">
        <f>SUM($G$36:G36)</f>
        <v>6.0354914942270881</v>
      </c>
      <c r="H37" s="1460">
        <f>SUM($G$36:H36)</f>
        <v>13.042907437102148</v>
      </c>
      <c r="I37" s="1461">
        <f>SUM($G$36:I36)</f>
        <v>88.814902246706922</v>
      </c>
      <c r="J37" s="1462">
        <f>SUM($G$36:J36)</f>
        <v>91.253317289675536</v>
      </c>
      <c r="K37" s="1460">
        <f>SUM($G$36:K36)</f>
        <v>93.742718533228967</v>
      </c>
      <c r="L37" s="1463">
        <f>SUM($G$36:L36)</f>
        <v>95.737553631109719</v>
      </c>
      <c r="M37" s="1464">
        <f>SUM($G$36:M36)</f>
        <v>98.75529937822327</v>
      </c>
      <c r="N37" s="1460">
        <f>SUM($G$36:N36)</f>
        <v>98.75529937822327</v>
      </c>
      <c r="O37" s="1461">
        <f>SUM($G$36:O36)</f>
        <v>99.999999999999986</v>
      </c>
      <c r="P37" s="1464">
        <f>SUM($G$36:P36)</f>
        <v>99.999999999999986</v>
      </c>
      <c r="Q37" s="1460">
        <f>SUM($G$36:Q36)</f>
        <v>99.999999999999986</v>
      </c>
      <c r="R37" s="1461">
        <f>SUM($G$36:R36)</f>
        <v>99.999999999999986</v>
      </c>
      <c r="S37" s="1419"/>
      <c r="T37" s="421"/>
      <c r="U37" s="423"/>
      <c r="V37" s="424"/>
      <c r="W37" s="425"/>
      <c r="X37" s="425"/>
      <c r="Y37" s="425"/>
      <c r="Z37" s="425"/>
      <c r="AA37" s="426"/>
      <c r="AB37" s="426"/>
      <c r="AC37" s="426"/>
      <c r="AD37" s="1297">
        <f>SUM(G37:R37)</f>
        <v>986.13748938849699</v>
      </c>
    </row>
    <row r="38" spans="2:30" s="1420" customFormat="1" ht="12.75" customHeight="1">
      <c r="B38" s="1421"/>
      <c r="C38" s="1421"/>
      <c r="D38" s="1422"/>
      <c r="E38" s="1422"/>
      <c r="F38" s="1422"/>
      <c r="G38" s="1423"/>
      <c r="H38" s="1423"/>
      <c r="I38" s="1423"/>
      <c r="J38" s="1423"/>
      <c r="K38" s="1423"/>
      <c r="L38" s="1423"/>
      <c r="M38" s="1423"/>
      <c r="N38" s="1423"/>
      <c r="O38" s="1423"/>
      <c r="P38" s="1423"/>
      <c r="Q38" s="1423"/>
      <c r="R38" s="1423"/>
      <c r="S38" s="1422"/>
      <c r="T38" s="1422"/>
      <c r="U38" s="1424"/>
      <c r="V38" s="1425"/>
      <c r="W38" s="1422"/>
      <c r="X38" s="1422"/>
      <c r="Y38" s="1422"/>
      <c r="Z38" s="1422"/>
      <c r="AA38" s="1426"/>
      <c r="AB38" s="1426"/>
      <c r="AC38" s="1426"/>
    </row>
    <row r="39" spans="2:30" s="1427" customFormat="1" ht="12">
      <c r="B39" s="1428"/>
      <c r="C39" s="1428"/>
      <c r="D39" s="1428"/>
      <c r="E39" s="1428"/>
      <c r="F39" s="1429"/>
      <c r="G39" s="1430"/>
      <c r="H39" s="1430"/>
      <c r="I39" s="1430"/>
      <c r="J39" s="1430"/>
      <c r="K39" s="1430"/>
      <c r="L39" s="1430"/>
      <c r="M39" s="1431"/>
      <c r="N39" s="1431"/>
      <c r="O39" s="1431"/>
      <c r="P39" s="1431"/>
      <c r="Q39" s="1431"/>
      <c r="R39" s="1431" t="s">
        <v>293</v>
      </c>
      <c r="V39" s="1431"/>
      <c r="W39" s="1428"/>
      <c r="X39" s="1432"/>
      <c r="Y39" s="1428"/>
      <c r="Z39" s="1432"/>
      <c r="AA39" s="1428"/>
      <c r="AB39" s="1431" t="s">
        <v>156</v>
      </c>
    </row>
    <row r="40" spans="2:30" s="1427" customFormat="1" ht="12">
      <c r="C40" s="1431"/>
      <c r="D40" s="1431"/>
      <c r="E40" s="1431"/>
      <c r="F40" s="1431" t="s">
        <v>98</v>
      </c>
      <c r="G40" s="1430"/>
      <c r="H40" s="1430"/>
      <c r="I40" s="1393"/>
      <c r="J40" s="1393"/>
      <c r="K40" s="1393"/>
      <c r="L40" s="1393"/>
      <c r="M40" s="1393"/>
      <c r="N40" s="1393"/>
      <c r="O40" s="1393"/>
      <c r="P40" s="1393"/>
      <c r="Q40" s="1393"/>
      <c r="R40" s="1393"/>
      <c r="S40" s="1393"/>
      <c r="T40" s="1393"/>
      <c r="U40" s="1433"/>
      <c r="V40" s="1273">
        <v>0</v>
      </c>
      <c r="W40" s="1361">
        <f>U40/$S$15*100</f>
        <v>0</v>
      </c>
      <c r="X40" s="1431"/>
      <c r="Y40" s="1431"/>
      <c r="Z40" s="1434"/>
      <c r="AA40" s="1431"/>
      <c r="AB40" s="1428"/>
      <c r="AC40" s="1431"/>
    </row>
    <row r="41" spans="2:30" s="1427" customFormat="1" ht="12">
      <c r="C41" s="1431"/>
      <c r="D41" s="1431"/>
      <c r="E41" s="1431"/>
      <c r="F41" s="1431" t="s">
        <v>99</v>
      </c>
      <c r="G41" s="1430"/>
      <c r="H41" s="1430"/>
      <c r="I41" s="1338"/>
      <c r="J41" s="1338"/>
      <c r="K41" s="1338"/>
      <c r="L41" s="1338"/>
      <c r="M41" s="1338"/>
      <c r="N41" s="1338"/>
      <c r="O41" s="1338"/>
      <c r="P41" s="1338"/>
      <c r="Q41" s="1338"/>
      <c r="R41" s="1338"/>
      <c r="S41" s="1338" t="s">
        <v>46</v>
      </c>
      <c r="T41" s="1338"/>
      <c r="U41" s="1435"/>
      <c r="V41" s="1340"/>
      <c r="W41" s="1342"/>
      <c r="X41" s="1431"/>
      <c r="Y41" s="1431"/>
      <c r="Z41" s="1434"/>
      <c r="AB41" s="1431" t="s">
        <v>157</v>
      </c>
    </row>
    <row r="42" spans="2:30" s="1427" customFormat="1" ht="12">
      <c r="C42" s="1431"/>
      <c r="D42" s="1431"/>
      <c r="E42" s="1431"/>
      <c r="F42" s="1431" t="s">
        <v>45</v>
      </c>
      <c r="G42" s="1430"/>
      <c r="H42" s="1430"/>
      <c r="I42" s="1338"/>
      <c r="J42" s="1338"/>
      <c r="K42" s="1338"/>
      <c r="L42" s="1338"/>
      <c r="M42" s="1338"/>
      <c r="N42" s="1338"/>
      <c r="O42" s="1338"/>
      <c r="P42" s="1338"/>
      <c r="Q42" s="1338"/>
      <c r="R42" s="1338"/>
      <c r="S42" s="1338"/>
      <c r="T42" s="1338"/>
      <c r="U42" s="1435"/>
      <c r="V42" s="1340"/>
      <c r="W42" s="1342"/>
      <c r="X42" s="1431"/>
      <c r="Y42" s="1431"/>
      <c r="Z42" s="1434"/>
      <c r="AB42" s="1431"/>
    </row>
    <row r="43" spans="2:30" s="1427" customFormat="1" ht="12">
      <c r="C43" s="1431"/>
      <c r="D43" s="1431"/>
      <c r="E43" s="1431"/>
      <c r="F43" s="1431"/>
      <c r="G43" s="1430"/>
      <c r="H43" s="1430"/>
      <c r="I43" s="1338"/>
      <c r="J43" s="1338"/>
      <c r="K43" s="1338"/>
      <c r="L43" s="1338"/>
      <c r="M43" s="1338"/>
      <c r="N43" s="1338"/>
      <c r="O43" s="1338"/>
      <c r="P43" s="1338"/>
      <c r="Q43" s="1338"/>
      <c r="R43" s="1338"/>
      <c r="S43" s="1338"/>
      <c r="T43" s="1338"/>
      <c r="U43" s="1433"/>
      <c r="V43" s="1292"/>
      <c r="W43" s="1342"/>
      <c r="X43" s="1431"/>
      <c r="Y43" s="1431"/>
      <c r="Z43" s="1436"/>
      <c r="AA43" s="1431"/>
      <c r="AB43" s="1428"/>
      <c r="AC43" s="1431"/>
    </row>
    <row r="44" spans="2:30" s="1427" customFormat="1" ht="12">
      <c r="C44" s="1431"/>
      <c r="D44" s="1431"/>
      <c r="E44" s="1431"/>
      <c r="F44" s="1431"/>
      <c r="G44" s="1431"/>
      <c r="H44" s="1431"/>
      <c r="I44" s="1338"/>
      <c r="J44" s="1338"/>
      <c r="K44" s="1338"/>
      <c r="L44" s="1338"/>
      <c r="M44" s="1338"/>
      <c r="N44" s="1338"/>
      <c r="O44" s="1338"/>
      <c r="P44" s="1338"/>
      <c r="Q44" s="1338"/>
      <c r="R44" s="1338"/>
      <c r="S44" s="1338"/>
      <c r="T44" s="1338"/>
      <c r="U44" s="1433"/>
      <c r="V44" s="1292"/>
      <c r="W44" s="1342"/>
      <c r="X44" s="1431"/>
      <c r="Y44" s="1431"/>
      <c r="Z44" s="1434"/>
      <c r="AA44" s="1431"/>
      <c r="AB44" s="1428"/>
      <c r="AC44" s="1431"/>
    </row>
    <row r="45" spans="2:30" s="1427" customFormat="1" ht="12">
      <c r="C45" s="1437"/>
      <c r="D45" s="1437"/>
      <c r="E45" s="1437"/>
      <c r="F45" s="1437" t="s">
        <v>47</v>
      </c>
      <c r="G45" s="1437"/>
      <c r="H45" s="1437"/>
      <c r="I45" s="1437"/>
      <c r="J45" s="1437"/>
      <c r="K45" s="1437"/>
      <c r="L45" s="1437"/>
      <c r="M45" s="1437"/>
      <c r="N45" s="1437"/>
      <c r="O45" s="1437"/>
      <c r="P45" s="1437"/>
      <c r="Q45" s="1437"/>
      <c r="R45" s="1437"/>
      <c r="S45" s="1437" t="s">
        <v>350</v>
      </c>
      <c r="V45" s="1437"/>
      <c r="W45" s="1437"/>
      <c r="X45" s="1437"/>
      <c r="Y45" s="1437"/>
      <c r="Z45" s="1438"/>
      <c r="AA45" s="1437"/>
      <c r="AB45" s="1437" t="s">
        <v>160</v>
      </c>
    </row>
    <row r="46" spans="2:30" s="1427" customFormat="1" ht="12">
      <c r="C46" s="1439"/>
      <c r="D46" s="1431"/>
      <c r="E46" s="1431"/>
      <c r="F46" s="1431" t="s">
        <v>49</v>
      </c>
      <c r="G46" s="1431"/>
      <c r="H46" s="1431"/>
      <c r="I46" s="1431"/>
      <c r="J46" s="1431"/>
      <c r="K46" s="1431"/>
      <c r="L46" s="1431"/>
      <c r="M46" s="1431"/>
      <c r="N46" s="1431"/>
      <c r="O46" s="1431"/>
      <c r="P46" s="1431"/>
      <c r="Q46" s="1431"/>
      <c r="R46" s="1431"/>
      <c r="S46" s="1440" t="s">
        <v>351</v>
      </c>
      <c r="V46" s="1431"/>
      <c r="W46" s="1431"/>
      <c r="X46" s="1431"/>
      <c r="Y46" s="1431"/>
      <c r="Z46" s="1434"/>
      <c r="AA46" s="1431"/>
      <c r="AB46" s="1431" t="s">
        <v>162</v>
      </c>
    </row>
    <row r="47" spans="2:30" s="1427" customFormat="1" ht="12">
      <c r="B47" s="1428"/>
      <c r="C47" s="1428"/>
      <c r="D47" s="1428"/>
      <c r="E47" s="1428"/>
      <c r="F47" s="1428"/>
      <c r="G47" s="1431"/>
      <c r="H47" s="1431"/>
      <c r="I47" s="1431"/>
      <c r="J47" s="1431"/>
      <c r="K47" s="1431"/>
      <c r="L47" s="1431"/>
      <c r="M47" s="1431"/>
      <c r="N47" s="1431"/>
      <c r="O47" s="1431"/>
      <c r="P47" s="1431"/>
      <c r="Q47" s="1431"/>
      <c r="R47" s="1431"/>
      <c r="S47" s="1432"/>
      <c r="T47" s="1432"/>
      <c r="U47" s="1428"/>
      <c r="V47" s="1431"/>
      <c r="W47" s="1428"/>
      <c r="X47" s="1428"/>
      <c r="Y47" s="1428"/>
      <c r="Z47" s="1432"/>
      <c r="AA47" s="1428"/>
      <c r="AB47" s="1428"/>
      <c r="AC47" s="1428"/>
    </row>
    <row r="49" spans="2:31" ht="15.75">
      <c r="S49" s="1441"/>
    </row>
    <row r="53" spans="2:31">
      <c r="B53" s="271" t="s">
        <v>314</v>
      </c>
    </row>
    <row r="54" spans="2:31">
      <c r="B54" s="1442" t="s">
        <v>315</v>
      </c>
    </row>
    <row r="55" spans="2:31">
      <c r="B55" s="1443" t="s">
        <v>316</v>
      </c>
      <c r="F55" s="271">
        <v>51</v>
      </c>
    </row>
    <row r="56" spans="2:31">
      <c r="B56" s="1443" t="s">
        <v>317</v>
      </c>
      <c r="F56" s="271">
        <v>2</v>
      </c>
    </row>
    <row r="57" spans="2:31">
      <c r="B57" s="1443"/>
      <c r="F57" s="1444">
        <f>SUM(F55:F56)</f>
        <v>53</v>
      </c>
    </row>
    <row r="59" spans="2:31" s="435" customFormat="1">
      <c r="B59" s="1442" t="s">
        <v>318</v>
      </c>
      <c r="C59" s="271"/>
      <c r="D59" s="271"/>
      <c r="E59" s="271"/>
      <c r="F59" s="271"/>
      <c r="S59" s="271"/>
      <c r="T59" s="271"/>
      <c r="U59" s="271"/>
      <c r="W59" s="271"/>
      <c r="X59" s="271"/>
      <c r="Y59" s="271"/>
      <c r="Z59" s="271"/>
      <c r="AA59" s="271"/>
      <c r="AB59" s="271"/>
      <c r="AC59" s="271"/>
      <c r="AD59" s="271"/>
      <c r="AE59" s="271"/>
    </row>
    <row r="60" spans="2:31" s="435" customFormat="1">
      <c r="B60" s="1443" t="s">
        <v>319</v>
      </c>
      <c r="C60" s="271"/>
      <c r="D60" s="271"/>
      <c r="E60" s="271"/>
      <c r="F60" s="271">
        <v>50</v>
      </c>
      <c r="G60" s="435" t="s">
        <v>320</v>
      </c>
      <c r="S60" s="271"/>
      <c r="T60" s="271"/>
      <c r="U60" s="271"/>
      <c r="W60" s="271"/>
      <c r="X60" s="271"/>
      <c r="Y60" s="271"/>
      <c r="Z60" s="271"/>
      <c r="AA60" s="271"/>
      <c r="AB60" s="271"/>
      <c r="AC60" s="271"/>
      <c r="AD60" s="271"/>
      <c r="AE60" s="271"/>
    </row>
    <row r="61" spans="2:31" s="435" customFormat="1">
      <c r="B61" s="1443" t="s">
        <v>321</v>
      </c>
      <c r="C61" s="271"/>
      <c r="D61" s="271"/>
      <c r="E61" s="271"/>
      <c r="F61" s="271">
        <v>50</v>
      </c>
      <c r="G61" s="435" t="s">
        <v>320</v>
      </c>
      <c r="S61" s="271"/>
      <c r="T61" s="271"/>
      <c r="U61" s="271"/>
      <c r="W61" s="271"/>
      <c r="X61" s="271"/>
      <c r="Y61" s="271"/>
      <c r="Z61" s="271"/>
      <c r="AA61" s="271"/>
      <c r="AB61" s="271"/>
      <c r="AC61" s="271"/>
      <c r="AD61" s="271"/>
      <c r="AE61" s="271"/>
    </row>
    <row r="62" spans="2:31" s="435" customFormat="1">
      <c r="B62" s="1443" t="s">
        <v>322</v>
      </c>
      <c r="C62" s="271"/>
      <c r="D62" s="271"/>
      <c r="E62" s="271"/>
      <c r="F62" s="271">
        <v>20</v>
      </c>
      <c r="G62" s="435" t="s">
        <v>323</v>
      </c>
      <c r="S62" s="271"/>
      <c r="T62" s="271"/>
      <c r="U62" s="271"/>
      <c r="W62" s="271"/>
      <c r="X62" s="271"/>
      <c r="Y62" s="271"/>
      <c r="Z62" s="271"/>
      <c r="AA62" s="271"/>
      <c r="AB62" s="271"/>
      <c r="AC62" s="271"/>
      <c r="AD62" s="271"/>
      <c r="AE62" s="271"/>
    </row>
    <row r="63" spans="2:31" s="435" customFormat="1">
      <c r="B63" s="1443" t="s">
        <v>324</v>
      </c>
      <c r="C63" s="271"/>
      <c r="D63" s="271"/>
      <c r="E63" s="271"/>
      <c r="F63" s="271">
        <v>50</v>
      </c>
      <c r="G63" s="435" t="s">
        <v>325</v>
      </c>
      <c r="S63" s="271"/>
      <c r="T63" s="271"/>
      <c r="U63" s="271"/>
      <c r="W63" s="271"/>
      <c r="X63" s="271"/>
      <c r="Y63" s="271"/>
      <c r="Z63" s="271"/>
      <c r="AA63" s="271"/>
      <c r="AB63" s="271"/>
      <c r="AC63" s="271"/>
      <c r="AD63" s="271"/>
      <c r="AE63" s="271"/>
    </row>
    <row r="64" spans="2:31" s="435" customFormat="1">
      <c r="B64" s="1443" t="s">
        <v>326</v>
      </c>
      <c r="C64" s="271"/>
      <c r="D64" s="271"/>
      <c r="E64" s="271"/>
      <c r="F64" s="271">
        <v>50</v>
      </c>
      <c r="G64" s="435" t="s">
        <v>327</v>
      </c>
      <c r="S64" s="271"/>
      <c r="T64" s="271"/>
      <c r="U64" s="271"/>
      <c r="W64" s="271"/>
      <c r="X64" s="271"/>
      <c r="Y64" s="271"/>
      <c r="Z64" s="271"/>
      <c r="AA64" s="271"/>
      <c r="AB64" s="271"/>
      <c r="AC64" s="271"/>
      <c r="AD64" s="271"/>
      <c r="AE64" s="271"/>
    </row>
    <row r="65" spans="2:31" s="435" customFormat="1">
      <c r="B65" s="1443" t="s">
        <v>328</v>
      </c>
      <c r="C65" s="271"/>
      <c r="D65" s="271"/>
      <c r="E65" s="271"/>
      <c r="F65" s="271">
        <v>100</v>
      </c>
      <c r="G65" s="435" t="s">
        <v>325</v>
      </c>
      <c r="S65" s="271"/>
      <c r="T65" s="271"/>
      <c r="U65" s="271"/>
      <c r="W65" s="271"/>
      <c r="X65" s="271"/>
      <c r="Y65" s="271"/>
      <c r="Z65" s="271"/>
      <c r="AA65" s="271"/>
      <c r="AB65" s="271"/>
      <c r="AC65" s="271"/>
      <c r="AD65" s="271"/>
      <c r="AE65" s="271"/>
    </row>
    <row r="66" spans="2:31" s="435" customFormat="1">
      <c r="B66" s="1443" t="s">
        <v>329</v>
      </c>
      <c r="C66" s="271"/>
      <c r="D66" s="271"/>
      <c r="E66" s="271"/>
      <c r="F66" s="271">
        <v>50</v>
      </c>
      <c r="G66" s="435" t="s">
        <v>330</v>
      </c>
      <c r="S66" s="271"/>
      <c r="T66" s="271"/>
      <c r="U66" s="271"/>
      <c r="W66" s="271"/>
      <c r="X66" s="271"/>
      <c r="Y66" s="271"/>
      <c r="Z66" s="271"/>
      <c r="AA66" s="271"/>
      <c r="AB66" s="271"/>
      <c r="AC66" s="271"/>
      <c r="AD66" s="271"/>
      <c r="AE66" s="271"/>
    </row>
    <row r="67" spans="2:31" s="435" customFormat="1">
      <c r="B67" s="1443" t="s">
        <v>331</v>
      </c>
      <c r="C67" s="271"/>
      <c r="D67" s="271"/>
      <c r="E67" s="271"/>
      <c r="F67" s="271">
        <v>80</v>
      </c>
      <c r="G67" s="435" t="s">
        <v>320</v>
      </c>
      <c r="S67" s="271"/>
      <c r="T67" s="271"/>
      <c r="U67" s="271"/>
      <c r="W67" s="271"/>
      <c r="X67" s="271"/>
      <c r="Y67" s="271"/>
      <c r="Z67" s="271"/>
      <c r="AA67" s="271"/>
      <c r="AB67" s="271"/>
      <c r="AC67" s="271"/>
      <c r="AD67" s="271"/>
      <c r="AE67" s="271"/>
    </row>
    <row r="68" spans="2:31" s="435" customFormat="1">
      <c r="B68" s="1443" t="s">
        <v>332</v>
      </c>
      <c r="C68" s="271"/>
      <c r="D68" s="271"/>
      <c r="E68" s="271"/>
      <c r="F68" s="271">
        <v>50</v>
      </c>
      <c r="G68" s="435" t="s">
        <v>333</v>
      </c>
      <c r="S68" s="271"/>
      <c r="T68" s="271"/>
      <c r="U68" s="271"/>
      <c r="W68" s="271"/>
      <c r="X68" s="271"/>
      <c r="Y68" s="271"/>
      <c r="Z68" s="271"/>
      <c r="AA68" s="271"/>
      <c r="AB68" s="271"/>
      <c r="AC68" s="271"/>
      <c r="AD68" s="271"/>
      <c r="AE68" s="271"/>
    </row>
    <row r="69" spans="2:31" s="435" customFormat="1">
      <c r="B69" s="1443" t="s">
        <v>334</v>
      </c>
      <c r="C69" s="271"/>
      <c r="D69" s="271"/>
      <c r="E69" s="271"/>
      <c r="F69" s="271">
        <v>50</v>
      </c>
      <c r="G69" s="435" t="s">
        <v>325</v>
      </c>
      <c r="S69" s="271"/>
      <c r="T69" s="271"/>
      <c r="U69" s="271"/>
      <c r="W69" s="271"/>
      <c r="X69" s="271"/>
      <c r="Y69" s="271"/>
      <c r="Z69" s="271"/>
      <c r="AA69" s="271"/>
      <c r="AB69" s="271"/>
      <c r="AC69" s="271"/>
      <c r="AD69" s="271"/>
      <c r="AE69" s="271"/>
    </row>
    <row r="70" spans="2:31" s="435" customFormat="1">
      <c r="B70" s="1443" t="s">
        <v>335</v>
      </c>
      <c r="C70" s="271"/>
      <c r="D70" s="271"/>
      <c r="E70" s="271"/>
      <c r="F70" s="271">
        <v>60</v>
      </c>
      <c r="G70" s="435" t="s">
        <v>336</v>
      </c>
      <c r="S70" s="271"/>
      <c r="T70" s="271"/>
      <c r="U70" s="271"/>
      <c r="W70" s="271"/>
      <c r="X70" s="271"/>
      <c r="Y70" s="271"/>
      <c r="Z70" s="271"/>
      <c r="AA70" s="271"/>
      <c r="AB70" s="271"/>
      <c r="AC70" s="271"/>
      <c r="AD70" s="271"/>
      <c r="AE70" s="271"/>
    </row>
    <row r="71" spans="2:31" s="435" customFormat="1">
      <c r="B71" s="1443" t="s">
        <v>337</v>
      </c>
      <c r="C71" s="271"/>
      <c r="D71" s="271"/>
      <c r="E71" s="271"/>
      <c r="F71" s="271">
        <v>30</v>
      </c>
      <c r="G71" s="435" t="s">
        <v>327</v>
      </c>
      <c r="S71" s="271"/>
      <c r="T71" s="271"/>
      <c r="U71" s="271"/>
      <c r="W71" s="271"/>
      <c r="X71" s="271"/>
      <c r="Y71" s="271"/>
      <c r="Z71" s="271"/>
      <c r="AA71" s="271"/>
      <c r="AB71" s="271"/>
      <c r="AC71" s="271"/>
      <c r="AD71" s="271"/>
      <c r="AE71" s="271"/>
    </row>
    <row r="72" spans="2:31" s="435" customFormat="1">
      <c r="B72" s="1443" t="s">
        <v>338</v>
      </c>
      <c r="C72" s="271"/>
      <c r="D72" s="271"/>
      <c r="E72" s="271"/>
      <c r="F72" s="271">
        <v>210</v>
      </c>
      <c r="G72" s="435" t="s">
        <v>339</v>
      </c>
      <c r="S72" s="271"/>
      <c r="T72" s="271"/>
      <c r="U72" s="271"/>
      <c r="W72" s="271"/>
      <c r="X72" s="271"/>
      <c r="Y72" s="271"/>
      <c r="Z72" s="271"/>
      <c r="AA72" s="271"/>
      <c r="AB72" s="271"/>
      <c r="AC72" s="271"/>
      <c r="AD72" s="271"/>
      <c r="AE72" s="271"/>
    </row>
    <row r="73" spans="2:31" s="435" customFormat="1">
      <c r="B73" s="1443" t="s">
        <v>340</v>
      </c>
      <c r="C73" s="271"/>
      <c r="D73" s="271"/>
      <c r="E73" s="271"/>
      <c r="F73" s="271">
        <v>60</v>
      </c>
      <c r="G73" s="435" t="s">
        <v>333</v>
      </c>
      <c r="S73" s="271"/>
      <c r="T73" s="271"/>
      <c r="U73" s="271"/>
      <c r="W73" s="271"/>
      <c r="X73" s="271"/>
      <c r="Y73" s="271"/>
      <c r="Z73" s="271"/>
      <c r="AA73" s="271"/>
      <c r="AB73" s="271"/>
      <c r="AC73" s="271"/>
      <c r="AD73" s="271"/>
      <c r="AE73" s="271"/>
    </row>
    <row r="74" spans="2:31" s="435" customFormat="1">
      <c r="B74" s="271"/>
      <c r="C74" s="271"/>
      <c r="D74" s="271"/>
      <c r="E74" s="271"/>
      <c r="F74" s="1444">
        <f>SUM(F60:F73)</f>
        <v>910</v>
      </c>
      <c r="S74" s="271"/>
      <c r="T74" s="271"/>
      <c r="U74" s="271"/>
      <c r="W74" s="271"/>
      <c r="X74" s="271"/>
      <c r="Y74" s="271"/>
      <c r="Z74" s="271"/>
      <c r="AA74" s="271"/>
      <c r="AB74" s="271"/>
      <c r="AC74" s="271"/>
      <c r="AD74" s="271"/>
      <c r="AE74" s="271"/>
    </row>
  </sheetData>
  <mergeCells count="25">
    <mergeCell ref="V11:W11"/>
    <mergeCell ref="B13:C13"/>
    <mergeCell ref="D13:E13"/>
    <mergeCell ref="V13:W13"/>
    <mergeCell ref="AC21:AC35"/>
    <mergeCell ref="D36:E36"/>
    <mergeCell ref="V9:Y9"/>
    <mergeCell ref="Z9:AB9"/>
    <mergeCell ref="G10:I10"/>
    <mergeCell ref="J10:L10"/>
    <mergeCell ref="M10:O10"/>
    <mergeCell ref="P10:R10"/>
    <mergeCell ref="V10:W10"/>
    <mergeCell ref="B9:C12"/>
    <mergeCell ref="D9:E12"/>
    <mergeCell ref="F9:F12"/>
    <mergeCell ref="G9:R9"/>
    <mergeCell ref="S9:S11"/>
    <mergeCell ref="T9:T11"/>
    <mergeCell ref="B1:AC1"/>
    <mergeCell ref="B2:AC2"/>
    <mergeCell ref="D4:L4"/>
    <mergeCell ref="D5:L5"/>
    <mergeCell ref="D6:L6"/>
    <mergeCell ref="D7:G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37"/>
  <sheetViews>
    <sheetView zoomScale="115" zoomScaleNormal="115" workbookViewId="0">
      <selection activeCell="L27" sqref="L27"/>
    </sheetView>
  </sheetViews>
  <sheetFormatPr defaultRowHeight="12.75"/>
  <cols>
    <col min="1" max="1" width="0.5703125" style="9" customWidth="1"/>
    <col min="2" max="2" width="31.28515625" style="9" customWidth="1"/>
    <col min="3" max="3" width="5.7109375" style="9" customWidth="1"/>
    <col min="4" max="4" width="4.42578125" style="9" customWidth="1"/>
    <col min="5" max="5" width="7.85546875" style="9" customWidth="1"/>
    <col min="6" max="6" width="6" style="9" customWidth="1"/>
    <col min="7" max="7" width="6.42578125" style="9" customWidth="1"/>
    <col min="8" max="8" width="7.5703125" style="9" customWidth="1"/>
    <col min="9" max="17" width="6.42578125" style="9" customWidth="1"/>
    <col min="18" max="18" width="9.140625" style="9" customWidth="1"/>
    <col min="19" max="19" width="8.28515625" style="9" customWidth="1"/>
    <col min="20" max="20" width="7.42578125" style="9" customWidth="1"/>
    <col min="21" max="16384" width="9.140625" style="9"/>
  </cols>
  <sheetData>
    <row r="1" spans="2:20" s="2" customFormat="1" ht="15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s="2" customFormat="1" ht="15.7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s="4" customFormat="1" ht="16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s="4" customFormat="1">
      <c r="B4" s="3" t="s">
        <v>2</v>
      </c>
      <c r="C4" s="5" t="s">
        <v>3</v>
      </c>
      <c r="D4" s="3" t="s">
        <v>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T4" s="3"/>
    </row>
    <row r="5" spans="2:20" s="4" customFormat="1">
      <c r="B5" s="3" t="s">
        <v>5</v>
      </c>
      <c r="C5" s="5" t="s">
        <v>3</v>
      </c>
      <c r="D5" s="3" t="s">
        <v>51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T5" s="3"/>
    </row>
    <row r="6" spans="2:20" s="4" customFormat="1">
      <c r="B6" s="3" t="s">
        <v>7</v>
      </c>
      <c r="C6" s="6" t="s">
        <v>3</v>
      </c>
      <c r="D6" s="7">
        <f>SUM(R14)</f>
        <v>5036000</v>
      </c>
      <c r="E6" s="7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0" ht="12.75" customHeight="1" thickBo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2:20" s="4" customFormat="1" ht="18.75" customHeight="1">
      <c r="B8" s="10" t="s">
        <v>8</v>
      </c>
      <c r="C8" s="11" t="s">
        <v>9</v>
      </c>
      <c r="D8" s="12"/>
      <c r="E8" s="13" t="s">
        <v>10</v>
      </c>
      <c r="F8" s="14" t="s">
        <v>11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3" t="s">
        <v>7</v>
      </c>
      <c r="S8" s="13" t="s">
        <v>12</v>
      </c>
      <c r="T8" s="17" t="s">
        <v>13</v>
      </c>
    </row>
    <row r="9" spans="2:20" s="4" customFormat="1">
      <c r="B9" s="18"/>
      <c r="C9" s="19"/>
      <c r="D9" s="20"/>
      <c r="E9" s="21"/>
      <c r="F9" s="22" t="s">
        <v>14</v>
      </c>
      <c r="G9" s="23"/>
      <c r="H9" s="24"/>
      <c r="I9" s="22" t="s">
        <v>15</v>
      </c>
      <c r="J9" s="23"/>
      <c r="K9" s="24"/>
      <c r="L9" s="22" t="s">
        <v>16</v>
      </c>
      <c r="M9" s="23"/>
      <c r="N9" s="24"/>
      <c r="O9" s="22" t="s">
        <v>17</v>
      </c>
      <c r="P9" s="23"/>
      <c r="Q9" s="24"/>
      <c r="R9" s="21"/>
      <c r="S9" s="21"/>
      <c r="T9" s="25" t="s">
        <v>18</v>
      </c>
    </row>
    <row r="10" spans="2:20" s="4" customFormat="1">
      <c r="B10" s="18"/>
      <c r="C10" s="19"/>
      <c r="D10" s="20"/>
      <c r="E10" s="21"/>
      <c r="F10" s="26" t="s">
        <v>19</v>
      </c>
      <c r="G10" s="26" t="s">
        <v>20</v>
      </c>
      <c r="H10" s="26" t="s">
        <v>21</v>
      </c>
      <c r="I10" s="26" t="s">
        <v>22</v>
      </c>
      <c r="J10" s="26" t="s">
        <v>23</v>
      </c>
      <c r="K10" s="26" t="s">
        <v>24</v>
      </c>
      <c r="L10" s="26" t="s">
        <v>25</v>
      </c>
      <c r="M10" s="26" t="s">
        <v>26</v>
      </c>
      <c r="N10" s="26" t="s">
        <v>27</v>
      </c>
      <c r="O10" s="26" t="s">
        <v>28</v>
      </c>
      <c r="P10" s="26" t="s">
        <v>29</v>
      </c>
      <c r="Q10" s="26" t="s">
        <v>30</v>
      </c>
      <c r="R10" s="21"/>
      <c r="S10" s="21"/>
      <c r="T10" s="25"/>
    </row>
    <row r="11" spans="2:20" s="4" customFormat="1" ht="9" customHeight="1">
      <c r="B11" s="27"/>
      <c r="C11" s="28"/>
      <c r="D11" s="29"/>
      <c r="E11" s="30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31" t="s">
        <v>31</v>
      </c>
      <c r="S11" s="31" t="s">
        <v>31</v>
      </c>
      <c r="T11" s="32" t="s">
        <v>32</v>
      </c>
    </row>
    <row r="12" spans="2:20" s="39" customFormat="1" ht="12" customHeight="1">
      <c r="B12" s="33">
        <v>1</v>
      </c>
      <c r="C12" s="34">
        <v>2</v>
      </c>
      <c r="D12" s="35"/>
      <c r="E12" s="36">
        <v>3</v>
      </c>
      <c r="F12" s="36">
        <v>4</v>
      </c>
      <c r="G12" s="36">
        <v>5</v>
      </c>
      <c r="H12" s="36">
        <v>6</v>
      </c>
      <c r="I12" s="36">
        <v>7</v>
      </c>
      <c r="J12" s="36">
        <v>8</v>
      </c>
      <c r="K12" s="36">
        <v>9</v>
      </c>
      <c r="L12" s="36">
        <v>10</v>
      </c>
      <c r="M12" s="36">
        <v>11</v>
      </c>
      <c r="N12" s="36">
        <v>12</v>
      </c>
      <c r="O12" s="36">
        <v>13</v>
      </c>
      <c r="P12" s="36">
        <v>14</v>
      </c>
      <c r="Q12" s="36">
        <v>15</v>
      </c>
      <c r="R12" s="37">
        <v>16</v>
      </c>
      <c r="S12" s="37">
        <v>17</v>
      </c>
      <c r="T12" s="38">
        <v>18</v>
      </c>
    </row>
    <row r="13" spans="2:20" s="4" customFormat="1" ht="11.25" customHeight="1">
      <c r="B13" s="40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  <c r="S13" s="43"/>
      <c r="T13" s="44"/>
    </row>
    <row r="14" spans="2:20" s="4" customFormat="1" ht="39" customHeight="1">
      <c r="B14" s="45" t="str">
        <f>D5</f>
        <v>Penyusunan dokumen perencanaan, pengendalian dan laporan capaian kinerja SKPD</v>
      </c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8">
        <f>SUM(R15:R20)</f>
        <v>5036000</v>
      </c>
      <c r="S14" s="48"/>
      <c r="T14" s="49">
        <v>100</v>
      </c>
    </row>
    <row r="15" spans="2:20" s="4" customFormat="1" ht="27.75" customHeight="1">
      <c r="B15" s="50" t="s">
        <v>52</v>
      </c>
      <c r="C15" s="51">
        <v>5</v>
      </c>
      <c r="D15" s="52" t="s">
        <v>53</v>
      </c>
      <c r="E15" s="53" t="s">
        <v>35</v>
      </c>
      <c r="F15" s="54">
        <v>1</v>
      </c>
      <c r="G15" s="55">
        <v>0</v>
      </c>
      <c r="H15" s="55">
        <v>1</v>
      </c>
      <c r="I15" s="55">
        <v>1</v>
      </c>
      <c r="J15" s="55">
        <v>0</v>
      </c>
      <c r="K15" s="55">
        <v>1</v>
      </c>
      <c r="L15" s="55">
        <v>0</v>
      </c>
      <c r="M15" s="55">
        <v>0</v>
      </c>
      <c r="N15" s="55">
        <v>1</v>
      </c>
      <c r="O15" s="55">
        <v>0</v>
      </c>
      <c r="P15" s="55">
        <v>0</v>
      </c>
      <c r="Q15" s="55">
        <v>0</v>
      </c>
      <c r="R15" s="56">
        <v>2518000</v>
      </c>
      <c r="S15" s="56"/>
      <c r="T15" s="57">
        <f>R15/$R$14*100</f>
        <v>50</v>
      </c>
    </row>
    <row r="16" spans="2:20" s="4" customFormat="1" ht="15" customHeight="1">
      <c r="B16" s="58" t="s">
        <v>36</v>
      </c>
      <c r="C16" s="65"/>
      <c r="D16" s="60"/>
      <c r="E16" s="61"/>
      <c r="F16" s="62">
        <f>F15/$C$15*100</f>
        <v>20</v>
      </c>
      <c r="G16" s="62">
        <f t="shared" ref="G16:Q16" si="0">G15/$C$15*100</f>
        <v>0</v>
      </c>
      <c r="H16" s="62">
        <f>H15/$C$15*100</f>
        <v>20</v>
      </c>
      <c r="I16" s="62">
        <f t="shared" si="0"/>
        <v>20</v>
      </c>
      <c r="J16" s="62">
        <f t="shared" si="0"/>
        <v>0</v>
      </c>
      <c r="K16" s="62">
        <f t="shared" si="0"/>
        <v>20</v>
      </c>
      <c r="L16" s="62">
        <f t="shared" si="0"/>
        <v>0</v>
      </c>
      <c r="M16" s="62">
        <f t="shared" si="0"/>
        <v>0</v>
      </c>
      <c r="N16" s="62">
        <f t="shared" si="0"/>
        <v>20</v>
      </c>
      <c r="O16" s="62">
        <f t="shared" si="0"/>
        <v>0</v>
      </c>
      <c r="P16" s="62">
        <f t="shared" si="0"/>
        <v>0</v>
      </c>
      <c r="Q16" s="62">
        <f t="shared" si="0"/>
        <v>0</v>
      </c>
      <c r="R16" s="63"/>
      <c r="S16" s="63"/>
      <c r="T16" s="64"/>
    </row>
    <row r="17" spans="2:20" s="4" customFormat="1" ht="15" customHeight="1">
      <c r="B17" s="58" t="s">
        <v>37</v>
      </c>
      <c r="C17" s="65"/>
      <c r="D17" s="60"/>
      <c r="E17" s="61"/>
      <c r="F17" s="62">
        <f>SUM($F$16:F16)</f>
        <v>20</v>
      </c>
      <c r="G17" s="62">
        <f>SUM($F$16:G16)</f>
        <v>20</v>
      </c>
      <c r="H17" s="62">
        <f>SUM($F$16:H16)</f>
        <v>40</v>
      </c>
      <c r="I17" s="62">
        <f>SUM($F$16:I16)</f>
        <v>60</v>
      </c>
      <c r="J17" s="62">
        <f>SUM($F$16:J16)</f>
        <v>60</v>
      </c>
      <c r="K17" s="62">
        <f>SUM($F$16:K16)</f>
        <v>80</v>
      </c>
      <c r="L17" s="62">
        <f>SUM($F$16:L16)</f>
        <v>80</v>
      </c>
      <c r="M17" s="62">
        <f>SUM($F$16:M16)</f>
        <v>80</v>
      </c>
      <c r="N17" s="62">
        <f>SUM($F$16:N16)</f>
        <v>100</v>
      </c>
      <c r="O17" s="62">
        <f>SUM($F$16:O16)</f>
        <v>100</v>
      </c>
      <c r="P17" s="62">
        <f>SUM($F$16:P16)</f>
        <v>100</v>
      </c>
      <c r="Q17" s="62">
        <f>SUM($F$16:Q16)</f>
        <v>100</v>
      </c>
      <c r="R17" s="66"/>
      <c r="S17" s="66"/>
      <c r="T17" s="64"/>
    </row>
    <row r="18" spans="2:20" s="4" customFormat="1" ht="15" customHeight="1">
      <c r="B18" s="58" t="s">
        <v>38</v>
      </c>
      <c r="C18" s="65"/>
      <c r="D18" s="60"/>
      <c r="E18" s="61"/>
      <c r="F18" s="62">
        <f>F16*$T$15/100</f>
        <v>10</v>
      </c>
      <c r="G18" s="62">
        <f>G16*$T$15/100</f>
        <v>0</v>
      </c>
      <c r="H18" s="62">
        <f t="shared" ref="H18:P18" si="1">H16*$T$15/100</f>
        <v>10</v>
      </c>
      <c r="I18" s="62">
        <f t="shared" si="1"/>
        <v>10</v>
      </c>
      <c r="J18" s="62">
        <f t="shared" si="1"/>
        <v>0</v>
      </c>
      <c r="K18" s="62">
        <f t="shared" si="1"/>
        <v>10</v>
      </c>
      <c r="L18" s="62">
        <f t="shared" si="1"/>
        <v>0</v>
      </c>
      <c r="M18" s="62">
        <f t="shared" si="1"/>
        <v>0</v>
      </c>
      <c r="N18" s="62">
        <f t="shared" si="1"/>
        <v>10</v>
      </c>
      <c r="O18" s="62">
        <f t="shared" si="1"/>
        <v>0</v>
      </c>
      <c r="P18" s="62">
        <f t="shared" si="1"/>
        <v>0</v>
      </c>
      <c r="Q18" s="62">
        <f>Q16*$T$15/100</f>
        <v>0</v>
      </c>
      <c r="R18" s="66"/>
      <c r="S18" s="66"/>
      <c r="T18" s="64"/>
    </row>
    <row r="19" spans="2:20" s="4" customFormat="1" ht="12" customHeight="1">
      <c r="B19" s="67"/>
      <c r="C19" s="65"/>
      <c r="D19" s="60"/>
      <c r="E19" s="61"/>
      <c r="F19" s="68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6"/>
      <c r="S19" s="66"/>
      <c r="T19" s="64"/>
    </row>
    <row r="20" spans="2:20" s="4" customFormat="1" ht="21.75" customHeight="1">
      <c r="B20" s="50" t="s">
        <v>54</v>
      </c>
      <c r="C20" s="51">
        <v>3</v>
      </c>
      <c r="D20" s="52" t="s">
        <v>55</v>
      </c>
      <c r="E20" s="53" t="s">
        <v>35</v>
      </c>
      <c r="F20" s="54">
        <v>1</v>
      </c>
      <c r="G20" s="96">
        <v>0</v>
      </c>
      <c r="H20" s="96">
        <v>0</v>
      </c>
      <c r="I20" s="96">
        <v>0</v>
      </c>
      <c r="J20" s="96">
        <v>0</v>
      </c>
      <c r="K20" s="96">
        <v>1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1</v>
      </c>
      <c r="R20" s="56">
        <v>2518000</v>
      </c>
      <c r="S20" s="56"/>
      <c r="T20" s="57">
        <f>R20/$R$14*100</f>
        <v>50</v>
      </c>
    </row>
    <row r="21" spans="2:20" s="4" customFormat="1" ht="15" customHeight="1">
      <c r="B21" s="58" t="s">
        <v>36</v>
      </c>
      <c r="C21" s="65"/>
      <c r="D21" s="60"/>
      <c r="E21" s="61"/>
      <c r="F21" s="62">
        <f>F20/$C$20*100</f>
        <v>33.333333333333329</v>
      </c>
      <c r="G21" s="62">
        <f t="shared" ref="G21:Q21" si="2">G20/$C$20*100</f>
        <v>0</v>
      </c>
      <c r="H21" s="62">
        <f t="shared" si="2"/>
        <v>0</v>
      </c>
      <c r="I21" s="62">
        <f>I20/$C$20*100</f>
        <v>0</v>
      </c>
      <c r="J21" s="62">
        <f t="shared" si="2"/>
        <v>0</v>
      </c>
      <c r="K21" s="62">
        <f t="shared" si="2"/>
        <v>33.333333333333329</v>
      </c>
      <c r="L21" s="62">
        <f t="shared" si="2"/>
        <v>0</v>
      </c>
      <c r="M21" s="62">
        <f t="shared" si="2"/>
        <v>0</v>
      </c>
      <c r="N21" s="62">
        <f t="shared" si="2"/>
        <v>0</v>
      </c>
      <c r="O21" s="62">
        <f t="shared" si="2"/>
        <v>0</v>
      </c>
      <c r="P21" s="62">
        <f t="shared" si="2"/>
        <v>0</v>
      </c>
      <c r="Q21" s="62">
        <f t="shared" si="2"/>
        <v>33.333333333333329</v>
      </c>
      <c r="R21" s="63"/>
      <c r="S21" s="63"/>
      <c r="T21" s="64"/>
    </row>
    <row r="22" spans="2:20" s="4" customFormat="1" ht="15" customHeight="1">
      <c r="B22" s="58" t="s">
        <v>37</v>
      </c>
      <c r="C22" s="65"/>
      <c r="D22" s="60"/>
      <c r="E22" s="61"/>
      <c r="F22" s="62">
        <f>SUM($F$21:F21)</f>
        <v>33.333333333333329</v>
      </c>
      <c r="G22" s="62">
        <f>SUM($F$21:G21)</f>
        <v>33.333333333333329</v>
      </c>
      <c r="H22" s="62">
        <f>SUM($F$21:H21)</f>
        <v>33.333333333333329</v>
      </c>
      <c r="I22" s="62">
        <f>SUM($F$21:I21)</f>
        <v>33.333333333333329</v>
      </c>
      <c r="J22" s="62">
        <f>SUM($F$21:J21)</f>
        <v>33.333333333333329</v>
      </c>
      <c r="K22" s="62">
        <f>SUM($F$21:K21)</f>
        <v>66.666666666666657</v>
      </c>
      <c r="L22" s="62">
        <f>SUM($F$21:L21)</f>
        <v>66.666666666666657</v>
      </c>
      <c r="M22" s="62">
        <f>SUM($F$21:M21)</f>
        <v>66.666666666666657</v>
      </c>
      <c r="N22" s="62">
        <f>SUM($F$21:N21)</f>
        <v>66.666666666666657</v>
      </c>
      <c r="O22" s="62">
        <f>SUM($F$21:O21)</f>
        <v>66.666666666666657</v>
      </c>
      <c r="P22" s="62">
        <f>SUM($F$21:P21)</f>
        <v>66.666666666666657</v>
      </c>
      <c r="Q22" s="62">
        <f>SUM($F$21:Q21)</f>
        <v>99.999999999999986</v>
      </c>
      <c r="R22" s="66"/>
      <c r="S22" s="66"/>
      <c r="T22" s="64"/>
    </row>
    <row r="23" spans="2:20" s="4" customFormat="1" ht="15" customHeight="1">
      <c r="B23" s="58" t="s">
        <v>38</v>
      </c>
      <c r="C23" s="65"/>
      <c r="D23" s="60"/>
      <c r="E23" s="61"/>
      <c r="F23" s="62">
        <f>F21*$T$20/100</f>
        <v>16.666666666666664</v>
      </c>
      <c r="G23" s="62">
        <f>G21*$T$20/100</f>
        <v>0</v>
      </c>
      <c r="H23" s="62">
        <f>H21*$T$20/100</f>
        <v>0</v>
      </c>
      <c r="I23" s="62">
        <f t="shared" ref="I23:Q23" si="3">I21*$T$20/100</f>
        <v>0</v>
      </c>
      <c r="J23" s="62">
        <f t="shared" si="3"/>
        <v>0</v>
      </c>
      <c r="K23" s="62">
        <f t="shared" si="3"/>
        <v>16.666666666666664</v>
      </c>
      <c r="L23" s="62">
        <f t="shared" si="3"/>
        <v>0</v>
      </c>
      <c r="M23" s="62">
        <f t="shared" si="3"/>
        <v>0</v>
      </c>
      <c r="N23" s="62">
        <f t="shared" si="3"/>
        <v>0</v>
      </c>
      <c r="O23" s="62">
        <f t="shared" si="3"/>
        <v>0</v>
      </c>
      <c r="P23" s="62">
        <f t="shared" si="3"/>
        <v>0</v>
      </c>
      <c r="Q23" s="62">
        <f t="shared" si="3"/>
        <v>16.666666666666664</v>
      </c>
      <c r="R23" s="66"/>
      <c r="S23" s="66"/>
      <c r="T23" s="64"/>
    </row>
    <row r="24" spans="2:20" s="4" customFormat="1" ht="11.25" customHeight="1">
      <c r="B24" s="67"/>
      <c r="C24" s="65"/>
      <c r="D24" s="60"/>
      <c r="E24" s="61"/>
      <c r="F24" s="68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6"/>
      <c r="S24" s="66"/>
      <c r="T24" s="64"/>
    </row>
    <row r="25" spans="2:20" s="4" customFormat="1" ht="14.25" customHeight="1">
      <c r="B25" s="67"/>
      <c r="C25" s="65"/>
      <c r="D25" s="60"/>
      <c r="E25" s="61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8"/>
      <c r="S25" s="98"/>
      <c r="T25" s="99"/>
    </row>
    <row r="26" spans="2:20" s="77" customFormat="1" ht="18" customHeight="1" thickBot="1">
      <c r="B26" s="70" t="s">
        <v>41</v>
      </c>
      <c r="C26" s="71"/>
      <c r="D26" s="72"/>
      <c r="E26" s="73"/>
      <c r="F26" s="74">
        <f>F18+F23</f>
        <v>26.666666666666664</v>
      </c>
      <c r="G26" s="74">
        <f t="shared" ref="G26:Q26" si="4">G18+G23</f>
        <v>0</v>
      </c>
      <c r="H26" s="74">
        <f t="shared" si="4"/>
        <v>10</v>
      </c>
      <c r="I26" s="74">
        <f t="shared" si="4"/>
        <v>10</v>
      </c>
      <c r="J26" s="74">
        <f t="shared" si="4"/>
        <v>0</v>
      </c>
      <c r="K26" s="74">
        <f t="shared" si="4"/>
        <v>26.666666666666664</v>
      </c>
      <c r="L26" s="74">
        <f t="shared" si="4"/>
        <v>0</v>
      </c>
      <c r="M26" s="74">
        <f t="shared" si="4"/>
        <v>0</v>
      </c>
      <c r="N26" s="74">
        <f t="shared" si="4"/>
        <v>10</v>
      </c>
      <c r="O26" s="74">
        <f t="shared" si="4"/>
        <v>0</v>
      </c>
      <c r="P26" s="74">
        <f t="shared" si="4"/>
        <v>0</v>
      </c>
      <c r="Q26" s="74">
        <f t="shared" si="4"/>
        <v>16.666666666666664</v>
      </c>
      <c r="R26" s="75"/>
      <c r="S26" s="75"/>
      <c r="T26" s="76"/>
    </row>
    <row r="27" spans="2:20" s="77" customFormat="1" ht="18" customHeight="1" thickTop="1" thickBot="1">
      <c r="B27" s="78" t="s">
        <v>42</v>
      </c>
      <c r="C27" s="79"/>
      <c r="D27" s="79"/>
      <c r="E27" s="80"/>
      <c r="F27" s="81">
        <f>SUM(F26)</f>
        <v>26.666666666666664</v>
      </c>
      <c r="G27" s="81">
        <f>SUM(F26:G26)</f>
        <v>26.666666666666664</v>
      </c>
      <c r="H27" s="81">
        <f>SUM(F26:H26)</f>
        <v>36.666666666666664</v>
      </c>
      <c r="I27" s="81">
        <f>SUM(F26:I26)</f>
        <v>46.666666666666664</v>
      </c>
      <c r="J27" s="81">
        <f>SUM(F26:J26)</f>
        <v>46.666666666666664</v>
      </c>
      <c r="K27" s="81">
        <f>SUM(F26:K26)</f>
        <v>73.333333333333329</v>
      </c>
      <c r="L27" s="81">
        <f>SUM(F26:L26)</f>
        <v>73.333333333333329</v>
      </c>
      <c r="M27" s="81">
        <f>SUM(F26:M26)</f>
        <v>73.333333333333329</v>
      </c>
      <c r="N27" s="81">
        <f>SUM(F26:N26)</f>
        <v>83.333333333333329</v>
      </c>
      <c r="O27" s="81">
        <f>SUM(F26:O26)</f>
        <v>83.333333333333329</v>
      </c>
      <c r="P27" s="81">
        <f>SUM(F26:P26)</f>
        <v>83.333333333333329</v>
      </c>
      <c r="Q27" s="81">
        <f>SUM(F26:Q26)</f>
        <v>100</v>
      </c>
      <c r="R27" s="80"/>
      <c r="S27" s="80"/>
      <c r="T27" s="82"/>
    </row>
    <row r="28" spans="2:20" ht="6.75" customHeight="1">
      <c r="B28" s="83"/>
      <c r="C28" s="84"/>
      <c r="D28" s="84"/>
      <c r="E28" s="84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  <c r="R28" s="84"/>
      <c r="S28" s="84"/>
      <c r="T28" s="87"/>
    </row>
    <row r="29" spans="2:20" s="4" customFormat="1" ht="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9" t="s">
        <v>43</v>
      </c>
    </row>
    <row r="30" spans="2:20" s="4" customFormat="1" ht="13.5" customHeight="1">
      <c r="C30" s="90" t="s">
        <v>44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88"/>
      <c r="T30" s="90"/>
    </row>
    <row r="31" spans="2:20" s="4" customFormat="1" ht="15">
      <c r="C31" s="90" t="s">
        <v>56</v>
      </c>
      <c r="D31" s="90"/>
      <c r="E31" s="90"/>
      <c r="F31" s="90"/>
      <c r="G31" s="90"/>
      <c r="H31" s="90"/>
      <c r="I31" s="90"/>
      <c r="J31" s="90"/>
      <c r="K31" s="92"/>
      <c r="L31" s="90"/>
      <c r="M31" s="90"/>
      <c r="N31" s="90"/>
      <c r="O31" s="90"/>
      <c r="P31" s="90"/>
      <c r="Q31" s="90" t="s">
        <v>46</v>
      </c>
    </row>
    <row r="32" spans="2:20" s="4" customFormat="1" ht="9.75" customHeight="1"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88"/>
      <c r="T32" s="90"/>
    </row>
    <row r="33" spans="2:20" s="4" customFormat="1" ht="9" customHeight="1"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88"/>
      <c r="T33" s="90"/>
    </row>
    <row r="34" spans="2:20" s="4" customFormat="1" ht="9.75" customHeight="1"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88"/>
      <c r="T34" s="90"/>
    </row>
    <row r="35" spans="2:20" s="4" customFormat="1" ht="15">
      <c r="C35" s="94" t="s">
        <v>47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 t="s">
        <v>57</v>
      </c>
    </row>
    <row r="36" spans="2:20" s="4" customFormat="1" ht="15">
      <c r="C36" s="90" t="s">
        <v>49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 t="s">
        <v>50</v>
      </c>
    </row>
    <row r="37" spans="2:20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5"/>
      <c r="S37" s="95"/>
      <c r="T37" s="8"/>
    </row>
  </sheetData>
  <mergeCells count="16">
    <mergeCell ref="I9:K9"/>
    <mergeCell ref="L9:N9"/>
    <mergeCell ref="O9:Q9"/>
    <mergeCell ref="T9:T10"/>
    <mergeCell ref="C12:D12"/>
    <mergeCell ref="C26:D26"/>
    <mergeCell ref="B1:T1"/>
    <mergeCell ref="B2:T2"/>
    <mergeCell ref="D6:F6"/>
    <mergeCell ref="B8:B11"/>
    <mergeCell ref="C8:D11"/>
    <mergeCell ref="E8:E11"/>
    <mergeCell ref="F8:Q8"/>
    <mergeCell ref="R8:R10"/>
    <mergeCell ref="S8:S10"/>
    <mergeCell ref="F9:H9"/>
  </mergeCells>
  <printOptions horizontalCentered="1"/>
  <pageMargins left="0.31496062992125984" right="0.31496062992125984" top="0.35433070866141736" bottom="0.35433070866141736" header="0.31496062992125984" footer="0.31496062992125984"/>
  <pageSetup paperSize="121" scale="9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40"/>
  <sheetViews>
    <sheetView zoomScale="85" zoomScaleNormal="85" workbookViewId="0">
      <selection activeCell="D25" sqref="D25"/>
    </sheetView>
  </sheetViews>
  <sheetFormatPr defaultRowHeight="15"/>
  <cols>
    <col min="1" max="1" width="30.28515625" style="246" customWidth="1"/>
    <col min="2" max="2" width="6.140625" style="246" customWidth="1"/>
    <col min="3" max="3" width="7.5703125" style="246" customWidth="1"/>
    <col min="4" max="16" width="9.140625" style="246"/>
    <col min="17" max="17" width="0" style="246" hidden="1" customWidth="1"/>
    <col min="18" max="18" width="14.85546875" style="247" customWidth="1"/>
    <col min="19" max="16384" width="9.140625" style="246"/>
  </cols>
  <sheetData>
    <row r="1" spans="1:25" s="101" customFormat="1" ht="14.25">
      <c r="A1" s="100" t="s">
        <v>58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5" s="101" customFormat="1" ht="14.2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5" s="101" customFormat="1" ht="7.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</row>
    <row r="4" spans="1:25" s="101" customFormat="1">
      <c r="A4" s="104" t="s">
        <v>2</v>
      </c>
      <c r="B4" s="105" t="s">
        <v>59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6" t="s">
        <v>60</v>
      </c>
      <c r="S4" s="107"/>
      <c r="T4" s="108"/>
    </row>
    <row r="5" spans="1:25" s="101" customFormat="1">
      <c r="A5" s="104" t="s">
        <v>5</v>
      </c>
      <c r="B5" s="105" t="s">
        <v>61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T5" s="108"/>
    </row>
    <row r="6" spans="1:25" s="101" customFormat="1">
      <c r="A6" s="104" t="s">
        <v>7</v>
      </c>
      <c r="B6" s="105" t="s">
        <v>62</v>
      </c>
      <c r="C6" s="109">
        <f>R13</f>
        <v>735575124</v>
      </c>
      <c r="D6" s="109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T6" s="103"/>
    </row>
    <row r="7" spans="1:25" s="101" customFormat="1" ht="7.5" customHeight="1" thickBo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8"/>
    </row>
    <row r="8" spans="1:25" s="101" customFormat="1" ht="12.75">
      <c r="A8" s="111" t="s">
        <v>8</v>
      </c>
      <c r="B8" s="112" t="s">
        <v>9</v>
      </c>
      <c r="C8" s="113"/>
      <c r="D8" s="114" t="s">
        <v>10</v>
      </c>
      <c r="E8" s="115" t="s">
        <v>11</v>
      </c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7"/>
      <c r="Q8" s="118"/>
      <c r="R8" s="114" t="s">
        <v>7</v>
      </c>
      <c r="S8" s="114" t="s">
        <v>12</v>
      </c>
      <c r="T8" s="119" t="s">
        <v>13</v>
      </c>
    </row>
    <row r="9" spans="1:25" s="101" customFormat="1" ht="12.75">
      <c r="A9" s="120"/>
      <c r="B9" s="121"/>
      <c r="C9" s="122"/>
      <c r="D9" s="123"/>
      <c r="E9" s="124" t="s">
        <v>14</v>
      </c>
      <c r="F9" s="125"/>
      <c r="G9" s="126"/>
      <c r="H9" s="124" t="s">
        <v>15</v>
      </c>
      <c r="I9" s="125"/>
      <c r="J9" s="126"/>
      <c r="K9" s="124" t="s">
        <v>16</v>
      </c>
      <c r="L9" s="125"/>
      <c r="M9" s="126"/>
      <c r="N9" s="124" t="s">
        <v>17</v>
      </c>
      <c r="O9" s="125"/>
      <c r="P9" s="126"/>
      <c r="Q9" s="127"/>
      <c r="R9" s="123"/>
      <c r="S9" s="123"/>
      <c r="T9" s="128"/>
    </row>
    <row r="10" spans="1:25" s="101" customFormat="1" ht="12.75">
      <c r="A10" s="120"/>
      <c r="B10" s="121"/>
      <c r="C10" s="122"/>
      <c r="D10" s="123"/>
      <c r="E10" s="129" t="s">
        <v>19</v>
      </c>
      <c r="F10" s="129" t="s">
        <v>20</v>
      </c>
      <c r="G10" s="129" t="s">
        <v>21</v>
      </c>
      <c r="H10" s="129" t="s">
        <v>22</v>
      </c>
      <c r="I10" s="129" t="s">
        <v>23</v>
      </c>
      <c r="J10" s="129" t="s">
        <v>24</v>
      </c>
      <c r="K10" s="129" t="s">
        <v>25</v>
      </c>
      <c r="L10" s="129" t="s">
        <v>26</v>
      </c>
      <c r="M10" s="129" t="s">
        <v>27</v>
      </c>
      <c r="N10" s="129" t="s">
        <v>28</v>
      </c>
      <c r="O10" s="129" t="s">
        <v>29</v>
      </c>
      <c r="P10" s="129" t="s">
        <v>30</v>
      </c>
      <c r="Q10" s="129"/>
      <c r="R10" s="123"/>
      <c r="S10" s="123"/>
      <c r="T10" s="128" t="s">
        <v>63</v>
      </c>
    </row>
    <row r="11" spans="1:25" s="101" customFormat="1" ht="12.75">
      <c r="A11" s="130"/>
      <c r="B11" s="131"/>
      <c r="C11" s="132"/>
      <c r="D11" s="133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4" t="s">
        <v>31</v>
      </c>
      <c r="S11" s="134" t="s">
        <v>31</v>
      </c>
      <c r="T11" s="128" t="s">
        <v>32</v>
      </c>
    </row>
    <row r="12" spans="1:25" s="140" customFormat="1" ht="8.25">
      <c r="A12" s="135">
        <v>1</v>
      </c>
      <c r="B12" s="136">
        <v>2</v>
      </c>
      <c r="C12" s="137"/>
      <c r="D12" s="138">
        <v>3</v>
      </c>
      <c r="E12" s="138">
        <v>4</v>
      </c>
      <c r="F12" s="138">
        <v>5</v>
      </c>
      <c r="G12" s="138">
        <v>6</v>
      </c>
      <c r="H12" s="138">
        <v>7</v>
      </c>
      <c r="I12" s="138">
        <v>8</v>
      </c>
      <c r="J12" s="138">
        <v>9</v>
      </c>
      <c r="K12" s="138">
        <v>10</v>
      </c>
      <c r="L12" s="138">
        <v>11</v>
      </c>
      <c r="M12" s="138">
        <v>12</v>
      </c>
      <c r="N12" s="138">
        <v>13</v>
      </c>
      <c r="O12" s="138">
        <v>14</v>
      </c>
      <c r="P12" s="138">
        <v>15</v>
      </c>
      <c r="Q12" s="138"/>
      <c r="R12" s="139">
        <v>16</v>
      </c>
      <c r="S12" s="139">
        <v>17</v>
      </c>
      <c r="T12" s="139">
        <v>18</v>
      </c>
    </row>
    <row r="13" spans="1:25" s="101" customFormat="1" ht="21">
      <c r="A13" s="141" t="s">
        <v>64</v>
      </c>
      <c r="B13" s="142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5">
        <f>SUM(R14:R124)</f>
        <v>735575124</v>
      </c>
      <c r="S13" s="146"/>
      <c r="T13" s="147">
        <f>SUM(T14:T125)</f>
        <v>100.00000000000001</v>
      </c>
    </row>
    <row r="14" spans="1:25" s="101" customFormat="1" ht="22.5" customHeight="1">
      <c r="A14" s="148" t="s">
        <v>65</v>
      </c>
      <c r="B14" s="149">
        <v>5</v>
      </c>
      <c r="C14" s="150" t="s">
        <v>34</v>
      </c>
      <c r="D14" s="151" t="s">
        <v>35</v>
      </c>
      <c r="E14" s="152">
        <v>0.41699999999999998</v>
      </c>
      <c r="F14" s="152">
        <v>0.41699999999999998</v>
      </c>
      <c r="G14" s="152">
        <v>0.41699999999999998</v>
      </c>
      <c r="H14" s="152">
        <v>0.41699999999999998</v>
      </c>
      <c r="I14" s="152">
        <v>0.41699999999999998</v>
      </c>
      <c r="J14" s="152">
        <v>0.41699999999999998</v>
      </c>
      <c r="K14" s="152">
        <v>0.41699999999999998</v>
      </c>
      <c r="L14" s="152">
        <v>0.41699999999999998</v>
      </c>
      <c r="M14" s="152">
        <v>0.41699999999999998</v>
      </c>
      <c r="N14" s="152">
        <v>0.41699999999999998</v>
      </c>
      <c r="O14" s="152">
        <v>0.41699999999999998</v>
      </c>
      <c r="P14" s="152">
        <v>0.41199999999999998</v>
      </c>
      <c r="Q14" s="153">
        <f>SUM(E14:P14)</f>
        <v>4.9989999999999988</v>
      </c>
      <c r="R14" s="154">
        <v>150215564</v>
      </c>
      <c r="S14" s="145" t="s">
        <v>60</v>
      </c>
      <c r="T14" s="155">
        <f>R14/$R$13*100</f>
        <v>20.421512242439562</v>
      </c>
      <c r="Y14" s="101">
        <f>8*12</f>
        <v>96</v>
      </c>
    </row>
    <row r="15" spans="1:25" s="101" customFormat="1" ht="12.75">
      <c r="A15" s="156" t="s">
        <v>66</v>
      </c>
      <c r="B15" s="157"/>
      <c r="C15" s="144"/>
      <c r="D15" s="144"/>
      <c r="E15" s="158">
        <f>E14/$B$14*100</f>
        <v>8.34</v>
      </c>
      <c r="F15" s="158">
        <f t="shared" ref="F15:P15" si="0">F14/$B$14*100</f>
        <v>8.34</v>
      </c>
      <c r="G15" s="158">
        <f t="shared" si="0"/>
        <v>8.34</v>
      </c>
      <c r="H15" s="158">
        <f t="shared" si="0"/>
        <v>8.34</v>
      </c>
      <c r="I15" s="158">
        <f t="shared" si="0"/>
        <v>8.34</v>
      </c>
      <c r="J15" s="158">
        <f t="shared" si="0"/>
        <v>8.34</v>
      </c>
      <c r="K15" s="158">
        <f t="shared" si="0"/>
        <v>8.34</v>
      </c>
      <c r="L15" s="158">
        <f t="shared" si="0"/>
        <v>8.34</v>
      </c>
      <c r="M15" s="158">
        <f t="shared" si="0"/>
        <v>8.34</v>
      </c>
      <c r="N15" s="158">
        <f t="shared" si="0"/>
        <v>8.34</v>
      </c>
      <c r="O15" s="158">
        <f t="shared" si="0"/>
        <v>8.34</v>
      </c>
      <c r="P15" s="158">
        <f t="shared" si="0"/>
        <v>8.24</v>
      </c>
      <c r="Q15" s="158"/>
      <c r="R15" s="159"/>
      <c r="S15" s="145"/>
      <c r="T15" s="160"/>
    </row>
    <row r="16" spans="1:25" s="101" customFormat="1" ht="12.75">
      <c r="A16" s="156" t="s">
        <v>67</v>
      </c>
      <c r="B16" s="157"/>
      <c r="C16" s="144"/>
      <c r="D16" s="144"/>
      <c r="E16" s="158">
        <f>SUM($E15:E$15)</f>
        <v>8.34</v>
      </c>
      <c r="F16" s="158">
        <f>SUM($E15:F$15)</f>
        <v>16.68</v>
      </c>
      <c r="G16" s="158">
        <f>SUM($E15:G$15)</f>
        <v>25.02</v>
      </c>
      <c r="H16" s="158">
        <f>SUM($E15:H$15)</f>
        <v>33.36</v>
      </c>
      <c r="I16" s="158">
        <f>SUM($E15:I$15)</f>
        <v>41.7</v>
      </c>
      <c r="J16" s="158">
        <f>SUM($E15:J$15)</f>
        <v>50.040000000000006</v>
      </c>
      <c r="K16" s="158">
        <f>SUM($E15:K$15)</f>
        <v>58.38000000000001</v>
      </c>
      <c r="L16" s="158">
        <f>SUM($E15:L$15)</f>
        <v>66.720000000000013</v>
      </c>
      <c r="M16" s="158">
        <f>SUM($E15:M$15)</f>
        <v>75.060000000000016</v>
      </c>
      <c r="N16" s="158">
        <f>SUM($E15:N$15)</f>
        <v>83.40000000000002</v>
      </c>
      <c r="O16" s="158">
        <f>SUM($E15:O$15)</f>
        <v>91.740000000000023</v>
      </c>
      <c r="P16" s="158">
        <f>SUM($E15:P$15)</f>
        <v>99.980000000000018</v>
      </c>
      <c r="Q16" s="158"/>
      <c r="R16" s="161"/>
      <c r="S16" s="145" t="s">
        <v>60</v>
      </c>
      <c r="T16" s="160"/>
    </row>
    <row r="17" spans="1:25" s="101" customFormat="1" ht="12.75">
      <c r="A17" s="156" t="s">
        <v>68</v>
      </c>
      <c r="B17" s="157"/>
      <c r="C17" s="144"/>
      <c r="D17" s="144"/>
      <c r="E17" s="158">
        <f>E15*$T$14/100</f>
        <v>1.7031541210194596</v>
      </c>
      <c r="F17" s="158">
        <f t="shared" ref="F17:P17" si="1">F15*$T$14/100</f>
        <v>1.7031541210194596</v>
      </c>
      <c r="G17" s="158">
        <f t="shared" si="1"/>
        <v>1.7031541210194596</v>
      </c>
      <c r="H17" s="158">
        <f t="shared" si="1"/>
        <v>1.7031541210194596</v>
      </c>
      <c r="I17" s="158">
        <f t="shared" si="1"/>
        <v>1.7031541210194596</v>
      </c>
      <c r="J17" s="158">
        <f t="shared" si="1"/>
        <v>1.7031541210194596</v>
      </c>
      <c r="K17" s="158">
        <f t="shared" si="1"/>
        <v>1.7031541210194596</v>
      </c>
      <c r="L17" s="158">
        <f t="shared" si="1"/>
        <v>1.7031541210194596</v>
      </c>
      <c r="M17" s="158">
        <f t="shared" si="1"/>
        <v>1.7031541210194596</v>
      </c>
      <c r="N17" s="158">
        <f t="shared" si="1"/>
        <v>1.7031541210194596</v>
      </c>
      <c r="O17" s="158">
        <f t="shared" si="1"/>
        <v>1.7031541210194596</v>
      </c>
      <c r="P17" s="158">
        <f t="shared" si="1"/>
        <v>1.68273260877702</v>
      </c>
      <c r="Q17" s="158"/>
      <c r="R17" s="161"/>
      <c r="S17" s="145"/>
      <c r="T17" s="160"/>
      <c r="U17" s="162">
        <f>SUM(E17:P17)</f>
        <v>20.417427939991072</v>
      </c>
    </row>
    <row r="18" spans="1:25" s="101" customFormat="1" ht="6.75" customHeight="1">
      <c r="A18" s="141"/>
      <c r="B18" s="157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5"/>
      <c r="S18" s="145"/>
      <c r="T18" s="160"/>
    </row>
    <row r="19" spans="1:25" s="101" customFormat="1" ht="12.75">
      <c r="A19" s="163" t="s">
        <v>69</v>
      </c>
      <c r="B19" s="164">
        <v>156</v>
      </c>
      <c r="C19" s="165" t="s">
        <v>70</v>
      </c>
      <c r="D19" s="151" t="s">
        <v>35</v>
      </c>
      <c r="E19" s="153">
        <v>39</v>
      </c>
      <c r="F19" s="153">
        <v>0</v>
      </c>
      <c r="G19" s="153">
        <v>0</v>
      </c>
      <c r="H19" s="153">
        <v>39</v>
      </c>
      <c r="I19" s="153">
        <v>0</v>
      </c>
      <c r="J19" s="153">
        <v>0</v>
      </c>
      <c r="K19" s="153">
        <v>39</v>
      </c>
      <c r="L19" s="153">
        <v>0</v>
      </c>
      <c r="M19" s="153">
        <v>0</v>
      </c>
      <c r="N19" s="153">
        <v>39</v>
      </c>
      <c r="O19" s="153">
        <v>0</v>
      </c>
      <c r="P19" s="153"/>
      <c r="Q19" s="153">
        <f>SUM(E19:P19)</f>
        <v>156</v>
      </c>
      <c r="R19" s="166">
        <v>936000</v>
      </c>
      <c r="S19" s="167"/>
      <c r="T19" s="155">
        <f>R19/$R$13*100</f>
        <v>0.12724737004564607</v>
      </c>
      <c r="V19" s="168">
        <f>SUM(E19:P19)</f>
        <v>156</v>
      </c>
    </row>
    <row r="20" spans="1:25" s="101" customFormat="1" ht="12.75">
      <c r="A20" s="156" t="s">
        <v>66</v>
      </c>
      <c r="B20" s="169"/>
      <c r="C20" s="170"/>
      <c r="D20" s="171"/>
      <c r="E20" s="158">
        <f>E19/$B$19*100</f>
        <v>25</v>
      </c>
      <c r="F20" s="158">
        <f t="shared" ref="F20:P20" si="2">F19/$B$19*100</f>
        <v>0</v>
      </c>
      <c r="G20" s="158">
        <f t="shared" si="2"/>
        <v>0</v>
      </c>
      <c r="H20" s="158">
        <f t="shared" si="2"/>
        <v>25</v>
      </c>
      <c r="I20" s="158">
        <f t="shared" si="2"/>
        <v>0</v>
      </c>
      <c r="J20" s="158">
        <f t="shared" si="2"/>
        <v>0</v>
      </c>
      <c r="K20" s="158">
        <f t="shared" si="2"/>
        <v>25</v>
      </c>
      <c r="L20" s="158">
        <f t="shared" si="2"/>
        <v>0</v>
      </c>
      <c r="M20" s="158">
        <f t="shared" si="2"/>
        <v>0</v>
      </c>
      <c r="N20" s="158">
        <f t="shared" si="2"/>
        <v>25</v>
      </c>
      <c r="O20" s="158">
        <f t="shared" si="2"/>
        <v>0</v>
      </c>
      <c r="P20" s="158">
        <f t="shared" si="2"/>
        <v>0</v>
      </c>
      <c r="Q20" s="158"/>
      <c r="R20" s="159"/>
      <c r="S20" s="159"/>
      <c r="T20" s="172"/>
    </row>
    <row r="21" spans="1:25" s="101" customFormat="1" ht="12.75">
      <c r="A21" s="156" t="s">
        <v>67</v>
      </c>
      <c r="B21" s="169"/>
      <c r="C21" s="170"/>
      <c r="D21" s="171"/>
      <c r="E21" s="158">
        <f>SUM($E$20:E20)</f>
        <v>25</v>
      </c>
      <c r="F21" s="158">
        <f>SUM($E$20:F20)</f>
        <v>25</v>
      </c>
      <c r="G21" s="158">
        <f>SUM($E$20:G20)</f>
        <v>25</v>
      </c>
      <c r="H21" s="158">
        <f>SUM($E$20:H20)</f>
        <v>50</v>
      </c>
      <c r="I21" s="158">
        <f>SUM($E$20:I20)</f>
        <v>50</v>
      </c>
      <c r="J21" s="158">
        <f>SUM($E$20:J20)</f>
        <v>50</v>
      </c>
      <c r="K21" s="158">
        <f>SUM($E$20:K20)</f>
        <v>75</v>
      </c>
      <c r="L21" s="158">
        <f>SUM($E$20:L20)</f>
        <v>75</v>
      </c>
      <c r="M21" s="158">
        <f>SUM($E$20:M20)</f>
        <v>75</v>
      </c>
      <c r="N21" s="158">
        <f>SUM($E$20:N20)</f>
        <v>100</v>
      </c>
      <c r="O21" s="158">
        <f>SUM($E$20:O20)</f>
        <v>100</v>
      </c>
      <c r="P21" s="158">
        <f>SUM($E$20:P20)</f>
        <v>100</v>
      </c>
      <c r="Q21" s="158"/>
      <c r="R21" s="161"/>
      <c r="S21" s="161"/>
      <c r="T21" s="172"/>
    </row>
    <row r="22" spans="1:25" s="101" customFormat="1" ht="12.75">
      <c r="A22" s="156" t="s">
        <v>68</v>
      </c>
      <c r="B22" s="169"/>
      <c r="C22" s="170"/>
      <c r="D22" s="171"/>
      <c r="E22" s="158">
        <f>E20*$T$19/100</f>
        <v>3.1811842511411517E-2</v>
      </c>
      <c r="F22" s="158">
        <f t="shared" ref="F22:P22" si="3">F20*$T$19/100</f>
        <v>0</v>
      </c>
      <c r="G22" s="158">
        <f t="shared" si="3"/>
        <v>0</v>
      </c>
      <c r="H22" s="158">
        <f t="shared" si="3"/>
        <v>3.1811842511411517E-2</v>
      </c>
      <c r="I22" s="158">
        <f t="shared" si="3"/>
        <v>0</v>
      </c>
      <c r="J22" s="158">
        <f t="shared" si="3"/>
        <v>0</v>
      </c>
      <c r="K22" s="158">
        <f t="shared" si="3"/>
        <v>3.1811842511411517E-2</v>
      </c>
      <c r="L22" s="158">
        <f t="shared" si="3"/>
        <v>0</v>
      </c>
      <c r="M22" s="158">
        <f t="shared" si="3"/>
        <v>0</v>
      </c>
      <c r="N22" s="158">
        <f t="shared" si="3"/>
        <v>3.1811842511411517E-2</v>
      </c>
      <c r="O22" s="158">
        <f t="shared" si="3"/>
        <v>0</v>
      </c>
      <c r="P22" s="158">
        <f t="shared" si="3"/>
        <v>0</v>
      </c>
      <c r="Q22" s="158"/>
      <c r="R22" s="161"/>
      <c r="S22" s="161"/>
      <c r="T22" s="172"/>
      <c r="U22" s="162">
        <f>SUM(E22:P22)</f>
        <v>0.12724737004564607</v>
      </c>
    </row>
    <row r="23" spans="1:25" s="101" customFormat="1" ht="6.75" customHeight="1">
      <c r="A23" s="173"/>
      <c r="B23" s="174"/>
      <c r="C23" s="175"/>
      <c r="D23" s="176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8"/>
      <c r="S23" s="178"/>
      <c r="T23" s="179"/>
    </row>
    <row r="24" spans="1:25" s="101" customFormat="1" ht="12.75">
      <c r="A24" s="180" t="s">
        <v>71</v>
      </c>
      <c r="B24" s="164">
        <v>420</v>
      </c>
      <c r="C24" s="181" t="s">
        <v>70</v>
      </c>
      <c r="D24" s="182" t="s">
        <v>35</v>
      </c>
      <c r="E24" s="183">
        <v>105</v>
      </c>
      <c r="F24" s="183">
        <v>0</v>
      </c>
      <c r="G24" s="183">
        <v>0</v>
      </c>
      <c r="H24" s="183">
        <v>105</v>
      </c>
      <c r="I24" s="183">
        <v>0</v>
      </c>
      <c r="J24" s="183">
        <v>0</v>
      </c>
      <c r="K24" s="183">
        <v>105</v>
      </c>
      <c r="L24" s="183">
        <v>0</v>
      </c>
      <c r="M24" s="183">
        <v>0</v>
      </c>
      <c r="N24" s="183">
        <v>105</v>
      </c>
      <c r="O24" s="183">
        <v>0</v>
      </c>
      <c r="P24" s="183">
        <v>0</v>
      </c>
      <c r="Q24" s="184">
        <f>SUM(E24:P24)</f>
        <v>420</v>
      </c>
      <c r="R24" s="185">
        <v>1260000</v>
      </c>
      <c r="S24" s="186"/>
      <c r="T24" s="155">
        <f>R24/$R$13*100</f>
        <v>0.17129453659990818</v>
      </c>
      <c r="V24" s="168">
        <f>SUM(E24:P24)</f>
        <v>420</v>
      </c>
      <c r="Y24" s="101" t="s">
        <v>60</v>
      </c>
    </row>
    <row r="25" spans="1:25" s="101" customFormat="1" ht="12.75">
      <c r="A25" s="156" t="s">
        <v>66</v>
      </c>
      <c r="B25" s="169"/>
      <c r="C25" s="170"/>
      <c r="D25" s="187"/>
      <c r="E25" s="188">
        <f t="shared" ref="E25:P25" si="4">E24/$B$24*100</f>
        <v>25</v>
      </c>
      <c r="F25" s="188">
        <f t="shared" si="4"/>
        <v>0</v>
      </c>
      <c r="G25" s="188">
        <f t="shared" si="4"/>
        <v>0</v>
      </c>
      <c r="H25" s="188">
        <f t="shared" si="4"/>
        <v>25</v>
      </c>
      <c r="I25" s="188">
        <f t="shared" si="4"/>
        <v>0</v>
      </c>
      <c r="J25" s="188">
        <f t="shared" si="4"/>
        <v>0</v>
      </c>
      <c r="K25" s="188">
        <f t="shared" si="4"/>
        <v>25</v>
      </c>
      <c r="L25" s="188">
        <f t="shared" si="4"/>
        <v>0</v>
      </c>
      <c r="M25" s="188">
        <f t="shared" si="4"/>
        <v>0</v>
      </c>
      <c r="N25" s="188">
        <f t="shared" si="4"/>
        <v>25</v>
      </c>
      <c r="O25" s="188">
        <f t="shared" si="4"/>
        <v>0</v>
      </c>
      <c r="P25" s="188">
        <f t="shared" si="4"/>
        <v>0</v>
      </c>
      <c r="Q25" s="188"/>
      <c r="R25" s="159"/>
      <c r="S25" s="159"/>
      <c r="T25" s="172"/>
    </row>
    <row r="26" spans="1:25" s="101" customFormat="1" ht="12.75">
      <c r="A26" s="156" t="s">
        <v>67</v>
      </c>
      <c r="B26" s="169"/>
      <c r="C26" s="170"/>
      <c r="D26" s="187"/>
      <c r="E26" s="188">
        <f>SUM($E$25:E25)</f>
        <v>25</v>
      </c>
      <c r="F26" s="188">
        <f>SUM($E$25:F25)</f>
        <v>25</v>
      </c>
      <c r="G26" s="188">
        <f>SUM($E$25:G25)</f>
        <v>25</v>
      </c>
      <c r="H26" s="188">
        <f>SUM($E$25:H25)</f>
        <v>50</v>
      </c>
      <c r="I26" s="188">
        <f>SUM($E$25:I25)</f>
        <v>50</v>
      </c>
      <c r="J26" s="188">
        <f>SUM($E$25:J25)</f>
        <v>50</v>
      </c>
      <c r="K26" s="188">
        <f>SUM($E$25:K25)</f>
        <v>75</v>
      </c>
      <c r="L26" s="188">
        <f>SUM($E$25:L25)</f>
        <v>75</v>
      </c>
      <c r="M26" s="188">
        <f>SUM($E$25:M25)</f>
        <v>75</v>
      </c>
      <c r="N26" s="188">
        <f>SUM($E$25:N25)</f>
        <v>100</v>
      </c>
      <c r="O26" s="188">
        <f>SUM($E$25:O25)</f>
        <v>100</v>
      </c>
      <c r="P26" s="188">
        <f>SUM($E$25:P25)</f>
        <v>100</v>
      </c>
      <c r="Q26" s="188"/>
      <c r="R26" s="161"/>
      <c r="S26" s="161"/>
      <c r="T26" s="172"/>
    </row>
    <row r="27" spans="1:25" s="101" customFormat="1" ht="12.75">
      <c r="A27" s="156" t="s">
        <v>68</v>
      </c>
      <c r="B27" s="169"/>
      <c r="C27" s="170"/>
      <c r="D27" s="187"/>
      <c r="E27" s="188">
        <f t="shared" ref="E27:P27" si="5">E25*$T$24/100</f>
        <v>4.2823634149977051E-2</v>
      </c>
      <c r="F27" s="188">
        <f t="shared" si="5"/>
        <v>0</v>
      </c>
      <c r="G27" s="188">
        <f t="shared" si="5"/>
        <v>0</v>
      </c>
      <c r="H27" s="188">
        <f t="shared" si="5"/>
        <v>4.2823634149977051E-2</v>
      </c>
      <c r="I27" s="188">
        <f t="shared" si="5"/>
        <v>0</v>
      </c>
      <c r="J27" s="188">
        <f t="shared" si="5"/>
        <v>0</v>
      </c>
      <c r="K27" s="188">
        <f t="shared" si="5"/>
        <v>4.2823634149977051E-2</v>
      </c>
      <c r="L27" s="188">
        <f t="shared" si="5"/>
        <v>0</v>
      </c>
      <c r="M27" s="188">
        <f t="shared" si="5"/>
        <v>0</v>
      </c>
      <c r="N27" s="188">
        <f t="shared" si="5"/>
        <v>4.2823634149977051E-2</v>
      </c>
      <c r="O27" s="188">
        <f t="shared" si="5"/>
        <v>0</v>
      </c>
      <c r="P27" s="188">
        <f t="shared" si="5"/>
        <v>0</v>
      </c>
      <c r="Q27" s="188"/>
      <c r="R27" s="161"/>
      <c r="S27" s="161"/>
      <c r="T27" s="172"/>
      <c r="U27" s="162">
        <f>SUM(E27:P27)</f>
        <v>0.1712945365999082</v>
      </c>
    </row>
    <row r="28" spans="1:25" s="101" customFormat="1" ht="8.25" customHeight="1">
      <c r="A28" s="189"/>
      <c r="B28" s="169"/>
      <c r="C28" s="170"/>
      <c r="D28" s="187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61"/>
      <c r="S28" s="161"/>
      <c r="T28" s="172"/>
    </row>
    <row r="29" spans="1:25" s="101" customFormat="1" ht="12.75">
      <c r="A29" s="190" t="s">
        <v>72</v>
      </c>
      <c r="B29" s="191">
        <v>10</v>
      </c>
      <c r="C29" s="192" t="s">
        <v>73</v>
      </c>
      <c r="D29" s="182" t="s">
        <v>35</v>
      </c>
      <c r="E29" s="153">
        <v>1</v>
      </c>
      <c r="F29" s="153">
        <v>1</v>
      </c>
      <c r="G29" s="153">
        <v>1</v>
      </c>
      <c r="H29" s="153">
        <v>1</v>
      </c>
      <c r="I29" s="153">
        <v>1</v>
      </c>
      <c r="J29" s="153">
        <v>1</v>
      </c>
      <c r="K29" s="153">
        <v>1</v>
      </c>
      <c r="L29" s="153">
        <v>1</v>
      </c>
      <c r="M29" s="153">
        <v>0</v>
      </c>
      <c r="N29" s="153">
        <v>1</v>
      </c>
      <c r="O29" s="153">
        <v>1</v>
      </c>
      <c r="P29" s="153">
        <v>0</v>
      </c>
      <c r="Q29" s="153">
        <f>SUM(E29:P29)</f>
        <v>10</v>
      </c>
      <c r="R29" s="154">
        <v>2500000</v>
      </c>
      <c r="S29" s="193"/>
      <c r="T29" s="155">
        <f>R29/$R$13*100</f>
        <v>0.33987011230140513</v>
      </c>
    </row>
    <row r="30" spans="1:25" s="101" customFormat="1" ht="12.75">
      <c r="A30" s="156" t="s">
        <v>66</v>
      </c>
      <c r="B30" s="169"/>
      <c r="C30" s="170"/>
      <c r="D30" s="187"/>
      <c r="E30" s="158">
        <f t="shared" ref="E30:P30" si="6">E29/$B$29*100</f>
        <v>10</v>
      </c>
      <c r="F30" s="158">
        <f t="shared" si="6"/>
        <v>10</v>
      </c>
      <c r="G30" s="158">
        <f t="shared" si="6"/>
        <v>10</v>
      </c>
      <c r="H30" s="158">
        <f t="shared" si="6"/>
        <v>10</v>
      </c>
      <c r="I30" s="158">
        <f t="shared" si="6"/>
        <v>10</v>
      </c>
      <c r="J30" s="158">
        <f t="shared" si="6"/>
        <v>10</v>
      </c>
      <c r="K30" s="158">
        <f t="shared" si="6"/>
        <v>10</v>
      </c>
      <c r="L30" s="158">
        <f t="shared" si="6"/>
        <v>10</v>
      </c>
      <c r="M30" s="158">
        <f t="shared" si="6"/>
        <v>0</v>
      </c>
      <c r="N30" s="158">
        <f t="shared" si="6"/>
        <v>10</v>
      </c>
      <c r="O30" s="158">
        <f t="shared" si="6"/>
        <v>10</v>
      </c>
      <c r="P30" s="158">
        <f t="shared" si="6"/>
        <v>0</v>
      </c>
      <c r="Q30" s="158"/>
      <c r="R30" s="159"/>
      <c r="S30" s="145"/>
      <c r="T30" s="172"/>
    </row>
    <row r="31" spans="1:25" s="101" customFormat="1" ht="12.75">
      <c r="A31" s="156" t="s">
        <v>67</v>
      </c>
      <c r="B31" s="169"/>
      <c r="C31" s="170"/>
      <c r="D31" s="187"/>
      <c r="E31" s="158">
        <f>SUM($E$30:E30)</f>
        <v>10</v>
      </c>
      <c r="F31" s="158">
        <f>SUM($E$30:F30)</f>
        <v>20</v>
      </c>
      <c r="G31" s="158">
        <f>SUM($E$30:G30)</f>
        <v>30</v>
      </c>
      <c r="H31" s="158">
        <f>SUM($E$30:H30)</f>
        <v>40</v>
      </c>
      <c r="I31" s="158">
        <f>SUM($E$30:I30)</f>
        <v>50</v>
      </c>
      <c r="J31" s="158">
        <f>SUM($E$30:J30)</f>
        <v>60</v>
      </c>
      <c r="K31" s="158">
        <f>SUM($E$30:K30)</f>
        <v>70</v>
      </c>
      <c r="L31" s="158">
        <f>SUM($E$30:L30)</f>
        <v>80</v>
      </c>
      <c r="M31" s="158">
        <f>SUM($E$30:M30)</f>
        <v>80</v>
      </c>
      <c r="N31" s="158">
        <f>SUM($E$30:N30)</f>
        <v>90</v>
      </c>
      <c r="O31" s="158">
        <f>SUM($E$30:O30)</f>
        <v>100</v>
      </c>
      <c r="P31" s="158">
        <f>SUM($E$30:P30)</f>
        <v>100</v>
      </c>
      <c r="Q31" s="158"/>
      <c r="R31" s="161"/>
      <c r="S31" s="145"/>
      <c r="T31" s="172"/>
    </row>
    <row r="32" spans="1:25" s="101" customFormat="1" ht="12.75">
      <c r="A32" s="156" t="s">
        <v>68</v>
      </c>
      <c r="B32" s="169"/>
      <c r="C32" s="170"/>
      <c r="D32" s="187"/>
      <c r="E32" s="158">
        <f t="shared" ref="E32:P32" si="7">E30*$T$29/100</f>
        <v>3.3987011230140515E-2</v>
      </c>
      <c r="F32" s="158">
        <f t="shared" si="7"/>
        <v>3.3987011230140515E-2</v>
      </c>
      <c r="G32" s="158">
        <f t="shared" si="7"/>
        <v>3.3987011230140515E-2</v>
      </c>
      <c r="H32" s="158">
        <f t="shared" si="7"/>
        <v>3.3987011230140515E-2</v>
      </c>
      <c r="I32" s="158">
        <f t="shared" si="7"/>
        <v>3.3987011230140515E-2</v>
      </c>
      <c r="J32" s="158">
        <f t="shared" si="7"/>
        <v>3.3987011230140515E-2</v>
      </c>
      <c r="K32" s="158">
        <f t="shared" si="7"/>
        <v>3.3987011230140515E-2</v>
      </c>
      <c r="L32" s="158">
        <f t="shared" si="7"/>
        <v>3.3987011230140515E-2</v>
      </c>
      <c r="M32" s="158">
        <f t="shared" si="7"/>
        <v>0</v>
      </c>
      <c r="N32" s="158">
        <f t="shared" si="7"/>
        <v>3.3987011230140515E-2</v>
      </c>
      <c r="O32" s="158">
        <f t="shared" si="7"/>
        <v>3.3987011230140515E-2</v>
      </c>
      <c r="P32" s="158">
        <f t="shared" si="7"/>
        <v>0</v>
      </c>
      <c r="Q32" s="158"/>
      <c r="R32" s="161"/>
      <c r="S32" s="145"/>
      <c r="T32" s="172"/>
      <c r="U32" s="162">
        <f>SUM(E32:P32)</f>
        <v>0.33987011230140524</v>
      </c>
    </row>
    <row r="33" spans="1:26" s="101" customFormat="1" ht="5.25" customHeight="1">
      <c r="A33" s="194"/>
      <c r="B33" s="169"/>
      <c r="C33" s="170"/>
      <c r="D33" s="187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61"/>
      <c r="S33" s="161"/>
      <c r="T33" s="172"/>
    </row>
    <row r="34" spans="1:26" s="101" customFormat="1" ht="22.5" customHeight="1">
      <c r="A34" s="195" t="s">
        <v>74</v>
      </c>
      <c r="B34" s="191">
        <v>50</v>
      </c>
      <c r="C34" s="192" t="s">
        <v>55</v>
      </c>
      <c r="D34" s="182" t="s">
        <v>35</v>
      </c>
      <c r="E34" s="153">
        <v>0</v>
      </c>
      <c r="F34" s="153">
        <v>13</v>
      </c>
      <c r="G34" s="153">
        <v>0</v>
      </c>
      <c r="H34" s="153">
        <v>0</v>
      </c>
      <c r="I34" s="153">
        <v>13</v>
      </c>
      <c r="J34" s="153">
        <v>0</v>
      </c>
      <c r="K34" s="153">
        <v>0</v>
      </c>
      <c r="L34" s="153">
        <v>12</v>
      </c>
      <c r="M34" s="153">
        <v>0</v>
      </c>
      <c r="N34" s="153">
        <v>12</v>
      </c>
      <c r="O34" s="153">
        <v>0</v>
      </c>
      <c r="P34" s="153">
        <v>0</v>
      </c>
      <c r="Q34" s="153">
        <f>SUM(E34:P34)</f>
        <v>50</v>
      </c>
      <c r="R34" s="154">
        <v>2250987</v>
      </c>
      <c r="S34" s="193" t="s">
        <v>60</v>
      </c>
      <c r="T34" s="155">
        <f>R34/$R$13*100</f>
        <v>0.3060172817916012</v>
      </c>
      <c r="Z34" s="101" t="s">
        <v>60</v>
      </c>
    </row>
    <row r="35" spans="1:26" s="101" customFormat="1" ht="12.75">
      <c r="A35" s="156" t="s">
        <v>66</v>
      </c>
      <c r="B35" s="169"/>
      <c r="C35" s="170"/>
      <c r="D35" s="187"/>
      <c r="E35" s="158">
        <f t="shared" ref="E35:Q35" si="8">E34/$B$34*100</f>
        <v>0</v>
      </c>
      <c r="F35" s="158">
        <f t="shared" si="8"/>
        <v>26</v>
      </c>
      <c r="G35" s="158">
        <f t="shared" si="8"/>
        <v>0</v>
      </c>
      <c r="H35" s="158">
        <f t="shared" si="8"/>
        <v>0</v>
      </c>
      <c r="I35" s="158">
        <f t="shared" si="8"/>
        <v>26</v>
      </c>
      <c r="J35" s="158">
        <f t="shared" si="8"/>
        <v>0</v>
      </c>
      <c r="K35" s="158">
        <f t="shared" si="8"/>
        <v>0</v>
      </c>
      <c r="L35" s="158">
        <f t="shared" si="8"/>
        <v>24</v>
      </c>
      <c r="M35" s="158">
        <f t="shared" si="8"/>
        <v>0</v>
      </c>
      <c r="N35" s="158">
        <f t="shared" si="8"/>
        <v>24</v>
      </c>
      <c r="O35" s="158">
        <f t="shared" si="8"/>
        <v>0</v>
      </c>
      <c r="P35" s="158">
        <f t="shared" si="8"/>
        <v>0</v>
      </c>
      <c r="Q35" s="158">
        <f t="shared" si="8"/>
        <v>100</v>
      </c>
      <c r="R35" s="159"/>
      <c r="S35" s="145"/>
      <c r="T35" s="172"/>
    </row>
    <row r="36" spans="1:26" s="101" customFormat="1" ht="12.75">
      <c r="A36" s="156" t="s">
        <v>67</v>
      </c>
      <c r="B36" s="169"/>
      <c r="C36" s="170"/>
      <c r="D36" s="187"/>
      <c r="E36" s="158">
        <f>SUM($E$35:E35)</f>
        <v>0</v>
      </c>
      <c r="F36" s="158">
        <f>SUM($E$35:F35)</f>
        <v>26</v>
      </c>
      <c r="G36" s="158">
        <f>SUM($E$35:G35)</f>
        <v>26</v>
      </c>
      <c r="H36" s="158">
        <f>SUM($E$35:H35)</f>
        <v>26</v>
      </c>
      <c r="I36" s="158">
        <f>SUM($E$35:I35)</f>
        <v>52</v>
      </c>
      <c r="J36" s="158">
        <f>SUM($E$35:J35)</f>
        <v>52</v>
      </c>
      <c r="K36" s="158">
        <f>SUM($E$35:K35)</f>
        <v>52</v>
      </c>
      <c r="L36" s="158">
        <f>SUM($E$35:L35)</f>
        <v>76</v>
      </c>
      <c r="M36" s="158">
        <f>SUM($E$35:M35)</f>
        <v>76</v>
      </c>
      <c r="N36" s="158">
        <f>SUM($E$35:N35)</f>
        <v>100</v>
      </c>
      <c r="O36" s="158">
        <f>SUM($E$35:O35)</f>
        <v>100</v>
      </c>
      <c r="P36" s="158">
        <f>SUM($E$35:P35)</f>
        <v>100</v>
      </c>
      <c r="Q36" s="158"/>
      <c r="R36" s="161"/>
      <c r="S36" s="145"/>
      <c r="T36" s="172"/>
    </row>
    <row r="37" spans="1:26" s="101" customFormat="1" ht="12.75">
      <c r="A37" s="156" t="s">
        <v>68</v>
      </c>
      <c r="B37" s="169"/>
      <c r="C37" s="170"/>
      <c r="D37" s="187"/>
      <c r="E37" s="158">
        <f t="shared" ref="E37:P37" si="9">E35*$T$34/100</f>
        <v>0</v>
      </c>
      <c r="F37" s="158">
        <f t="shared" si="9"/>
        <v>7.9564493265816313E-2</v>
      </c>
      <c r="G37" s="158">
        <f t="shared" si="9"/>
        <v>0</v>
      </c>
      <c r="H37" s="158">
        <f t="shared" si="9"/>
        <v>0</v>
      </c>
      <c r="I37" s="158">
        <f t="shared" si="9"/>
        <v>7.9564493265816313E-2</v>
      </c>
      <c r="J37" s="158">
        <f t="shared" si="9"/>
        <v>0</v>
      </c>
      <c r="K37" s="158">
        <f t="shared" si="9"/>
        <v>0</v>
      </c>
      <c r="L37" s="158">
        <f t="shared" si="9"/>
        <v>7.3444147629984288E-2</v>
      </c>
      <c r="M37" s="158">
        <f t="shared" si="9"/>
        <v>0</v>
      </c>
      <c r="N37" s="158">
        <f t="shared" si="9"/>
        <v>7.3444147629984288E-2</v>
      </c>
      <c r="O37" s="158">
        <f t="shared" si="9"/>
        <v>0</v>
      </c>
      <c r="P37" s="158">
        <f t="shared" si="9"/>
        <v>0</v>
      </c>
      <c r="Q37" s="158"/>
      <c r="R37" s="161"/>
      <c r="S37" s="145"/>
      <c r="T37" s="172"/>
      <c r="U37" s="162">
        <f>SUM(E37:P37)</f>
        <v>0.3060172817916012</v>
      </c>
    </row>
    <row r="38" spans="1:26" s="101" customFormat="1" ht="6.75" customHeight="1">
      <c r="A38" s="194"/>
      <c r="B38" s="169"/>
      <c r="C38" s="170"/>
      <c r="D38" s="187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61"/>
      <c r="S38" s="161"/>
      <c r="T38" s="172"/>
    </row>
    <row r="39" spans="1:26" s="101" customFormat="1" ht="12.75">
      <c r="A39" s="163" t="s">
        <v>75</v>
      </c>
      <c r="B39" s="164">
        <v>12</v>
      </c>
      <c r="C39" s="165" t="s">
        <v>76</v>
      </c>
      <c r="D39" s="151" t="s">
        <v>35</v>
      </c>
      <c r="E39" s="196">
        <v>1</v>
      </c>
      <c r="F39" s="196">
        <v>1</v>
      </c>
      <c r="G39" s="196">
        <v>1</v>
      </c>
      <c r="H39" s="196">
        <v>1</v>
      </c>
      <c r="I39" s="196">
        <v>1</v>
      </c>
      <c r="J39" s="196">
        <v>1</v>
      </c>
      <c r="K39" s="196">
        <v>1</v>
      </c>
      <c r="L39" s="196">
        <v>1</v>
      </c>
      <c r="M39" s="196">
        <v>1</v>
      </c>
      <c r="N39" s="196">
        <v>1</v>
      </c>
      <c r="O39" s="196">
        <v>1</v>
      </c>
      <c r="P39" s="196">
        <v>1</v>
      </c>
      <c r="Q39" s="153">
        <f>SUM(E39:P39)</f>
        <v>12</v>
      </c>
      <c r="R39" s="166">
        <v>108700500</v>
      </c>
      <c r="S39" s="167"/>
      <c r="T39" s="155">
        <f>R39/$R$13*100</f>
        <v>14.777620456887556</v>
      </c>
      <c r="V39" s="168">
        <f>SUM(E39:P39)</f>
        <v>12</v>
      </c>
    </row>
    <row r="40" spans="1:26" s="101" customFormat="1" ht="12.75">
      <c r="A40" s="156" t="s">
        <v>66</v>
      </c>
      <c r="B40" s="169"/>
      <c r="C40" s="170"/>
      <c r="D40" s="171"/>
      <c r="E40" s="158">
        <f>E39/$B$39*100</f>
        <v>8.3333333333333321</v>
      </c>
      <c r="F40" s="158">
        <f>F39/$B$39*100</f>
        <v>8.3333333333333321</v>
      </c>
      <c r="G40" s="158">
        <f>G39/$B$39*100</f>
        <v>8.3333333333333321</v>
      </c>
      <c r="H40" s="158">
        <f t="shared" ref="H40:P40" si="10">H39/$B$39*100</f>
        <v>8.3333333333333321</v>
      </c>
      <c r="I40" s="158">
        <f t="shared" si="10"/>
        <v>8.3333333333333321</v>
      </c>
      <c r="J40" s="158">
        <f t="shared" si="10"/>
        <v>8.3333333333333321</v>
      </c>
      <c r="K40" s="158">
        <f t="shared" si="10"/>
        <v>8.3333333333333321</v>
      </c>
      <c r="L40" s="158">
        <f t="shared" si="10"/>
        <v>8.3333333333333321</v>
      </c>
      <c r="M40" s="158">
        <f t="shared" si="10"/>
        <v>8.3333333333333321</v>
      </c>
      <c r="N40" s="158">
        <f t="shared" si="10"/>
        <v>8.3333333333333321</v>
      </c>
      <c r="O40" s="158">
        <f t="shared" si="10"/>
        <v>8.3333333333333321</v>
      </c>
      <c r="P40" s="158">
        <f t="shared" si="10"/>
        <v>8.3333333333333321</v>
      </c>
      <c r="Q40" s="158"/>
      <c r="R40" s="159"/>
      <c r="S40" s="159"/>
      <c r="T40" s="172"/>
    </row>
    <row r="41" spans="1:26" s="101" customFormat="1" ht="12.75">
      <c r="A41" s="156" t="s">
        <v>67</v>
      </c>
      <c r="B41" s="169"/>
      <c r="C41" s="170"/>
      <c r="D41" s="171"/>
      <c r="E41" s="158">
        <f>SUM($E$40:E40)</f>
        <v>8.3333333333333321</v>
      </c>
      <c r="F41" s="158">
        <f>SUM($E$40:F40)</f>
        <v>16.666666666666664</v>
      </c>
      <c r="G41" s="158">
        <f>SUM($E$40:G40)</f>
        <v>24.999999999999996</v>
      </c>
      <c r="H41" s="158">
        <f>SUM($E$40:H40)</f>
        <v>33.333333333333329</v>
      </c>
      <c r="I41" s="158">
        <f>SUM($E$40:I40)</f>
        <v>41.666666666666657</v>
      </c>
      <c r="J41" s="158">
        <f>SUM($E$40:J40)</f>
        <v>49.999999999999986</v>
      </c>
      <c r="K41" s="158">
        <f>SUM($E$40:K40)</f>
        <v>58.333333333333314</v>
      </c>
      <c r="L41" s="158">
        <f>SUM($E$40:L40)</f>
        <v>66.666666666666643</v>
      </c>
      <c r="M41" s="158">
        <f>SUM($E$40:M40)</f>
        <v>74.999999999999972</v>
      </c>
      <c r="N41" s="158">
        <f>SUM($E$40:N40)</f>
        <v>83.3333333333333</v>
      </c>
      <c r="O41" s="158">
        <f>SUM($E$40:O40)</f>
        <v>91.666666666666629</v>
      </c>
      <c r="P41" s="158">
        <f>SUM($E$40:P40)</f>
        <v>99.999999999999957</v>
      </c>
      <c r="Q41" s="158"/>
      <c r="R41" s="161"/>
      <c r="S41" s="161"/>
      <c r="T41" s="172"/>
    </row>
    <row r="42" spans="1:26" s="101" customFormat="1" ht="12.75">
      <c r="A42" s="156" t="s">
        <v>68</v>
      </c>
      <c r="B42" s="169"/>
      <c r="C42" s="170"/>
      <c r="D42" s="171"/>
      <c r="E42" s="158">
        <f>E40*$T$39/100</f>
        <v>1.2314683714072963</v>
      </c>
      <c r="F42" s="158">
        <f t="shared" ref="F42:P42" si="11">F40*$T$39/100</f>
        <v>1.2314683714072963</v>
      </c>
      <c r="G42" s="158">
        <f t="shared" si="11"/>
        <v>1.2314683714072963</v>
      </c>
      <c r="H42" s="158">
        <f t="shared" si="11"/>
        <v>1.2314683714072963</v>
      </c>
      <c r="I42" s="158">
        <f t="shared" si="11"/>
        <v>1.2314683714072963</v>
      </c>
      <c r="J42" s="158">
        <f t="shared" si="11"/>
        <v>1.2314683714072963</v>
      </c>
      <c r="K42" s="158">
        <f t="shared" si="11"/>
        <v>1.2314683714072963</v>
      </c>
      <c r="L42" s="158">
        <f t="shared" si="11"/>
        <v>1.2314683714072963</v>
      </c>
      <c r="M42" s="158">
        <f t="shared" si="11"/>
        <v>1.2314683714072963</v>
      </c>
      <c r="N42" s="158">
        <f t="shared" si="11"/>
        <v>1.2314683714072963</v>
      </c>
      <c r="O42" s="158">
        <f t="shared" si="11"/>
        <v>1.2314683714072963</v>
      </c>
      <c r="P42" s="158">
        <f t="shared" si="11"/>
        <v>1.2314683714072963</v>
      </c>
      <c r="Q42" s="158"/>
      <c r="R42" s="161"/>
      <c r="S42" s="161"/>
      <c r="T42" s="172"/>
      <c r="U42" s="162">
        <f>SUM(E42:P42)</f>
        <v>14.777620456887552</v>
      </c>
    </row>
    <row r="43" spans="1:26" s="101" customFormat="1" ht="8.25" customHeight="1">
      <c r="A43" s="173"/>
      <c r="B43" s="174"/>
      <c r="C43" s="175"/>
      <c r="D43" s="176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8"/>
      <c r="S43" s="178"/>
      <c r="T43" s="179"/>
    </row>
    <row r="44" spans="1:26" s="101" customFormat="1" ht="12.75" hidden="1" customHeight="1">
      <c r="A44" s="180"/>
      <c r="B44" s="164"/>
      <c r="C44" s="181"/>
      <c r="D44" s="182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54"/>
      <c r="S44" s="186"/>
      <c r="T44" s="197"/>
      <c r="V44" s="168"/>
    </row>
    <row r="45" spans="1:26" s="101" customFormat="1" ht="12.75" hidden="1" customHeight="1">
      <c r="A45" s="156"/>
      <c r="B45" s="169"/>
      <c r="C45" s="170"/>
      <c r="D45" s="187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59"/>
      <c r="S45" s="159"/>
      <c r="T45" s="172"/>
      <c r="V45" s="168"/>
    </row>
    <row r="46" spans="1:26" s="101" customFormat="1" ht="12.75" hidden="1" customHeight="1">
      <c r="A46" s="156"/>
      <c r="B46" s="169"/>
      <c r="C46" s="170"/>
      <c r="D46" s="187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61"/>
      <c r="S46" s="161"/>
      <c r="T46" s="172"/>
      <c r="V46" s="168"/>
    </row>
    <row r="47" spans="1:26" s="101" customFormat="1" ht="12.75" hidden="1" customHeight="1">
      <c r="A47" s="156"/>
      <c r="B47" s="169"/>
      <c r="C47" s="170"/>
      <c r="D47" s="187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61"/>
      <c r="S47" s="161"/>
      <c r="T47" s="172"/>
      <c r="V47" s="168"/>
    </row>
    <row r="48" spans="1:26" s="101" customFormat="1" ht="12.75" hidden="1" customHeight="1">
      <c r="A48" s="189"/>
      <c r="B48" s="169"/>
      <c r="C48" s="170"/>
      <c r="D48" s="187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78"/>
      <c r="S48" s="161"/>
      <c r="T48" s="172"/>
      <c r="V48" s="168"/>
    </row>
    <row r="49" spans="1:26" s="101" customFormat="1" ht="12.75">
      <c r="A49" s="180" t="s">
        <v>77</v>
      </c>
      <c r="B49" s="164">
        <v>75</v>
      </c>
      <c r="C49" s="181" t="s">
        <v>55</v>
      </c>
      <c r="D49" s="182" t="s">
        <v>35</v>
      </c>
      <c r="E49" s="196">
        <v>0</v>
      </c>
      <c r="F49" s="196">
        <v>15</v>
      </c>
      <c r="G49" s="196">
        <v>5</v>
      </c>
      <c r="H49" s="196">
        <v>4</v>
      </c>
      <c r="I49" s="196">
        <v>11</v>
      </c>
      <c r="J49" s="196">
        <v>5</v>
      </c>
      <c r="K49" s="196">
        <v>3</v>
      </c>
      <c r="L49" s="196">
        <v>10</v>
      </c>
      <c r="M49" s="196">
        <v>5</v>
      </c>
      <c r="N49" s="196">
        <v>10</v>
      </c>
      <c r="O49" s="196">
        <v>5</v>
      </c>
      <c r="P49" s="196">
        <v>2</v>
      </c>
      <c r="Q49" s="184">
        <f>SUM(E49:P49)</f>
        <v>75</v>
      </c>
      <c r="R49" s="166">
        <v>33045777</v>
      </c>
      <c r="S49" s="186"/>
      <c r="T49" s="155">
        <f>R49/$R$13*100</f>
        <v>4.4925087760308759</v>
      </c>
      <c r="V49" s="168">
        <f>SUM(E49:P49)</f>
        <v>75</v>
      </c>
    </row>
    <row r="50" spans="1:26" s="101" customFormat="1" ht="12.75">
      <c r="A50" s="156" t="s">
        <v>66</v>
      </c>
      <c r="B50" s="169"/>
      <c r="C50" s="170"/>
      <c r="D50" s="187"/>
      <c r="E50" s="188">
        <f>E49/$B$49*100</f>
        <v>0</v>
      </c>
      <c r="F50" s="188">
        <f t="shared" ref="F50:P50" si="12">F49/$B$49*100</f>
        <v>20</v>
      </c>
      <c r="G50" s="188">
        <f t="shared" si="12"/>
        <v>6.666666666666667</v>
      </c>
      <c r="H50" s="188">
        <f t="shared" si="12"/>
        <v>5.3333333333333339</v>
      </c>
      <c r="I50" s="188">
        <f t="shared" si="12"/>
        <v>14.666666666666666</v>
      </c>
      <c r="J50" s="188">
        <f t="shared" si="12"/>
        <v>6.666666666666667</v>
      </c>
      <c r="K50" s="188">
        <f t="shared" si="12"/>
        <v>4</v>
      </c>
      <c r="L50" s="188">
        <f t="shared" si="12"/>
        <v>13.333333333333334</v>
      </c>
      <c r="M50" s="188">
        <f>M49/$B$49*100</f>
        <v>6.666666666666667</v>
      </c>
      <c r="N50" s="188">
        <f>N49/$B$49*100</f>
        <v>13.333333333333334</v>
      </c>
      <c r="O50" s="188">
        <f>O49/$B$49*100</f>
        <v>6.666666666666667</v>
      </c>
      <c r="P50" s="188">
        <f t="shared" si="12"/>
        <v>2.666666666666667</v>
      </c>
      <c r="Q50" s="188"/>
      <c r="R50" s="159"/>
      <c r="S50" s="159"/>
      <c r="T50" s="172"/>
    </row>
    <row r="51" spans="1:26" s="101" customFormat="1" ht="12.75">
      <c r="A51" s="156" t="s">
        <v>67</v>
      </c>
      <c r="B51" s="169"/>
      <c r="C51" s="170"/>
      <c r="D51" s="187"/>
      <c r="E51" s="188">
        <f>SUM($E$50:E50)</f>
        <v>0</v>
      </c>
      <c r="F51" s="188">
        <f>SUM($E$50:F50)</f>
        <v>20</v>
      </c>
      <c r="G51" s="188">
        <f>SUM($E$50:G50)</f>
        <v>26.666666666666668</v>
      </c>
      <c r="H51" s="188">
        <f>SUM($E$50:H50)</f>
        <v>32</v>
      </c>
      <c r="I51" s="188">
        <f>SUM($E$50:I50)</f>
        <v>46.666666666666664</v>
      </c>
      <c r="J51" s="188">
        <f>SUM($E$50:J50)</f>
        <v>53.333333333333329</v>
      </c>
      <c r="K51" s="188">
        <f>SUM($E$50:K50)</f>
        <v>57.333333333333329</v>
      </c>
      <c r="L51" s="188">
        <f>SUM($E$50:L50)</f>
        <v>70.666666666666657</v>
      </c>
      <c r="M51" s="188">
        <f>SUM($E$50:M50)</f>
        <v>77.333333333333329</v>
      </c>
      <c r="N51" s="188">
        <f>SUM($E$50:N50)</f>
        <v>90.666666666666657</v>
      </c>
      <c r="O51" s="188">
        <f>SUM($E$50:O50)</f>
        <v>97.333333333333329</v>
      </c>
      <c r="P51" s="188">
        <f>SUM($E$50:P50)</f>
        <v>100</v>
      </c>
      <c r="Q51" s="188"/>
      <c r="R51" s="161"/>
      <c r="S51" s="161"/>
      <c r="T51" s="172"/>
    </row>
    <row r="52" spans="1:26" s="101" customFormat="1" ht="12.75">
      <c r="A52" s="156" t="s">
        <v>68</v>
      </c>
      <c r="B52" s="169"/>
      <c r="C52" s="170"/>
      <c r="D52" s="187"/>
      <c r="E52" s="188">
        <f>E50*$T$49/100</f>
        <v>0</v>
      </c>
      <c r="F52" s="188">
        <f t="shared" ref="F52:P52" si="13">F50*$T$49/100</f>
        <v>0.89850175520617515</v>
      </c>
      <c r="G52" s="188">
        <f t="shared" si="13"/>
        <v>0.29950058506872507</v>
      </c>
      <c r="H52" s="188">
        <f t="shared" si="13"/>
        <v>0.23960046805498006</v>
      </c>
      <c r="I52" s="188">
        <f t="shared" si="13"/>
        <v>0.65890128715119511</v>
      </c>
      <c r="J52" s="188">
        <f t="shared" si="13"/>
        <v>0.29950058506872507</v>
      </c>
      <c r="K52" s="188">
        <f t="shared" si="13"/>
        <v>0.17970035104123505</v>
      </c>
      <c r="L52" s="188">
        <f t="shared" si="13"/>
        <v>0.59900117013745013</v>
      </c>
      <c r="M52" s="188">
        <f t="shared" si="13"/>
        <v>0.29950058506872507</v>
      </c>
      <c r="N52" s="188">
        <f t="shared" si="13"/>
        <v>0.59900117013745013</v>
      </c>
      <c r="O52" s="188">
        <f t="shared" si="13"/>
        <v>0.29950058506872507</v>
      </c>
      <c r="P52" s="188">
        <f t="shared" si="13"/>
        <v>0.11980023402749003</v>
      </c>
      <c r="Q52" s="188"/>
      <c r="R52" s="161"/>
      <c r="S52" s="161"/>
      <c r="T52" s="172"/>
      <c r="U52" s="162">
        <f>SUM(E52:P52)</f>
        <v>4.4925087760308768</v>
      </c>
    </row>
    <row r="53" spans="1:26" s="101" customFormat="1" ht="8.25" customHeight="1">
      <c r="A53" s="173"/>
      <c r="B53" s="174"/>
      <c r="C53" s="175"/>
      <c r="D53" s="198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78"/>
      <c r="S53" s="178"/>
      <c r="T53" s="179"/>
    </row>
    <row r="54" spans="1:26" s="101" customFormat="1" ht="8.25" customHeight="1">
      <c r="A54" s="194"/>
      <c r="B54" s="169"/>
      <c r="C54" s="170"/>
      <c r="D54" s="187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61"/>
      <c r="S54" s="161"/>
      <c r="T54" s="172"/>
    </row>
    <row r="55" spans="1:26" s="101" customFormat="1" ht="12.75">
      <c r="A55" s="180" t="s">
        <v>78</v>
      </c>
      <c r="B55" s="164">
        <v>316589</v>
      </c>
      <c r="C55" s="181" t="s">
        <v>70</v>
      </c>
      <c r="D55" s="182" t="s">
        <v>35</v>
      </c>
      <c r="E55" s="183">
        <f>$B55/12</f>
        <v>26382.416666666668</v>
      </c>
      <c r="F55" s="183">
        <f t="shared" ref="F55:O55" si="14">$B55/12</f>
        <v>26382.416666666668</v>
      </c>
      <c r="G55" s="183">
        <f t="shared" si="14"/>
        <v>26382.416666666668</v>
      </c>
      <c r="H55" s="183">
        <f t="shared" si="14"/>
        <v>26382.416666666668</v>
      </c>
      <c r="I55" s="183">
        <f t="shared" si="14"/>
        <v>26382.416666666668</v>
      </c>
      <c r="J55" s="183">
        <f t="shared" si="14"/>
        <v>26382.416666666668</v>
      </c>
      <c r="K55" s="183">
        <f t="shared" si="14"/>
        <v>26382.416666666668</v>
      </c>
      <c r="L55" s="183">
        <f t="shared" si="14"/>
        <v>26382.416666666668</v>
      </c>
      <c r="M55" s="183">
        <f t="shared" si="14"/>
        <v>26382.416666666668</v>
      </c>
      <c r="N55" s="183">
        <f t="shared" si="14"/>
        <v>26382.416666666668</v>
      </c>
      <c r="O55" s="183">
        <f t="shared" si="14"/>
        <v>26382.416666666668</v>
      </c>
      <c r="P55" s="183">
        <v>26387</v>
      </c>
      <c r="Q55" s="184">
        <f>SUM(E55:P55)</f>
        <v>316593.58333333331</v>
      </c>
      <c r="R55" s="166">
        <v>63317800</v>
      </c>
      <c r="S55" s="186"/>
      <c r="T55" s="155">
        <f>R55/$R$13*100</f>
        <v>8.6079311186711642</v>
      </c>
      <c r="V55" s="168">
        <f>SUM(E55:P55)</f>
        <v>316593.58333333331</v>
      </c>
    </row>
    <row r="56" spans="1:26" s="101" customFormat="1" ht="12.75">
      <c r="A56" s="156" t="s">
        <v>66</v>
      </c>
      <c r="B56" s="169"/>
      <c r="C56" s="170"/>
      <c r="D56" s="187"/>
      <c r="E56" s="200">
        <f t="shared" ref="E56:P56" si="15">E55/$B$55*100</f>
        <v>8.3333333333333339</v>
      </c>
      <c r="F56" s="200">
        <f t="shared" si="15"/>
        <v>8.3333333333333339</v>
      </c>
      <c r="G56" s="200">
        <f t="shared" si="15"/>
        <v>8.3333333333333339</v>
      </c>
      <c r="H56" s="200">
        <f t="shared" si="15"/>
        <v>8.3333333333333339</v>
      </c>
      <c r="I56" s="200">
        <f t="shared" si="15"/>
        <v>8.3333333333333339</v>
      </c>
      <c r="J56" s="200">
        <f t="shared" si="15"/>
        <v>8.3333333333333339</v>
      </c>
      <c r="K56" s="200">
        <f t="shared" si="15"/>
        <v>8.3333333333333339</v>
      </c>
      <c r="L56" s="200">
        <f t="shared" si="15"/>
        <v>8.3333333333333339</v>
      </c>
      <c r="M56" s="200">
        <f t="shared" si="15"/>
        <v>8.3333333333333339</v>
      </c>
      <c r="N56" s="200">
        <f t="shared" si="15"/>
        <v>8.3333333333333339</v>
      </c>
      <c r="O56" s="200">
        <f t="shared" si="15"/>
        <v>8.3333333333333339</v>
      </c>
      <c r="P56" s="200">
        <f t="shared" si="15"/>
        <v>8.334781056827623</v>
      </c>
      <c r="Q56" s="188"/>
      <c r="R56" s="159"/>
      <c r="S56" s="159"/>
      <c r="T56" s="172"/>
    </row>
    <row r="57" spans="1:26" s="101" customFormat="1" ht="12.75">
      <c r="A57" s="156" t="s">
        <v>67</v>
      </c>
      <c r="B57" s="169"/>
      <c r="C57" s="170"/>
      <c r="D57" s="187"/>
      <c r="E57" s="200">
        <f>SUM($E$56:E56)</f>
        <v>8.3333333333333339</v>
      </c>
      <c r="F57" s="200">
        <f>SUM($E$56:F56)</f>
        <v>16.666666666666668</v>
      </c>
      <c r="G57" s="200">
        <f>SUM($E$56:G56)</f>
        <v>25</v>
      </c>
      <c r="H57" s="200">
        <f>SUM($E$56:H56)</f>
        <v>33.333333333333336</v>
      </c>
      <c r="I57" s="200">
        <f>SUM($E$56:I56)</f>
        <v>41.666666666666671</v>
      </c>
      <c r="J57" s="200">
        <f>SUM($E$56:J56)</f>
        <v>50.000000000000007</v>
      </c>
      <c r="K57" s="200">
        <f>SUM($E$56:K56)</f>
        <v>58.333333333333343</v>
      </c>
      <c r="L57" s="200">
        <f>SUM($E$56:L56)</f>
        <v>66.666666666666671</v>
      </c>
      <c r="M57" s="200">
        <f>SUM($E$56:M56)</f>
        <v>75</v>
      </c>
      <c r="N57" s="200">
        <f>SUM($E$56:N56)</f>
        <v>83.333333333333329</v>
      </c>
      <c r="O57" s="200">
        <f>SUM($E$56:O56)</f>
        <v>91.666666666666657</v>
      </c>
      <c r="P57" s="200">
        <f>SUM($E$56:P56)</f>
        <v>100.00144772349428</v>
      </c>
      <c r="Q57" s="188"/>
      <c r="R57" s="161"/>
      <c r="S57" s="161"/>
      <c r="T57" s="172"/>
    </row>
    <row r="58" spans="1:26" s="101" customFormat="1" ht="12.75">
      <c r="A58" s="156" t="s">
        <v>68</v>
      </c>
      <c r="B58" s="169"/>
      <c r="C58" s="170"/>
      <c r="D58" s="187"/>
      <c r="E58" s="188">
        <f>E56*$T$55/100</f>
        <v>0.71732759322259709</v>
      </c>
      <c r="F58" s="188">
        <f t="shared" ref="F58:P58" si="16">F56*$T$55/100</f>
        <v>0.71732759322259709</v>
      </c>
      <c r="G58" s="188">
        <f t="shared" si="16"/>
        <v>0.71732759322259709</v>
      </c>
      <c r="H58" s="188">
        <f t="shared" si="16"/>
        <v>0.71732759322259709</v>
      </c>
      <c r="I58" s="188">
        <f t="shared" si="16"/>
        <v>0.71732759322259709</v>
      </c>
      <c r="J58" s="188">
        <f t="shared" si="16"/>
        <v>0.71732759322259709</v>
      </c>
      <c r="K58" s="188">
        <f t="shared" si="16"/>
        <v>0.71732759322259709</v>
      </c>
      <c r="L58" s="188">
        <f t="shared" si="16"/>
        <v>0.71732759322259709</v>
      </c>
      <c r="M58" s="188">
        <f t="shared" si="16"/>
        <v>0.71732759322259709</v>
      </c>
      <c r="N58" s="188">
        <f t="shared" si="16"/>
        <v>0.71732759322259709</v>
      </c>
      <c r="O58" s="188">
        <f t="shared" si="16"/>
        <v>0.71732759322259709</v>
      </c>
      <c r="P58" s="188">
        <f t="shared" si="16"/>
        <v>0.7174522122637742</v>
      </c>
      <c r="Q58" s="188"/>
      <c r="R58" s="161"/>
      <c r="S58" s="161"/>
      <c r="T58" s="172"/>
      <c r="U58" s="162">
        <f>SUM(E58:P58)</f>
        <v>8.608055737712343</v>
      </c>
    </row>
    <row r="59" spans="1:26" s="101" customFormat="1" ht="8.25" customHeight="1">
      <c r="A59" s="189"/>
      <c r="B59" s="169"/>
      <c r="C59" s="170"/>
      <c r="D59" s="187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78"/>
      <c r="S59" s="161"/>
      <c r="T59" s="172"/>
    </row>
    <row r="60" spans="1:26" s="101" customFormat="1" ht="12.75">
      <c r="A60" s="180" t="s">
        <v>79</v>
      </c>
      <c r="B60" s="164">
        <v>2</v>
      </c>
      <c r="C60" s="181" t="s">
        <v>55</v>
      </c>
      <c r="D60" s="182" t="s">
        <v>80</v>
      </c>
      <c r="E60" s="183">
        <v>0</v>
      </c>
      <c r="F60" s="183">
        <v>0</v>
      </c>
      <c r="G60" s="183">
        <v>2</v>
      </c>
      <c r="H60" s="183">
        <v>0</v>
      </c>
      <c r="I60" s="183">
        <v>0</v>
      </c>
      <c r="J60" s="183">
        <v>0</v>
      </c>
      <c r="K60" s="183">
        <v>0</v>
      </c>
      <c r="L60" s="183">
        <v>0</v>
      </c>
      <c r="M60" s="183">
        <v>0</v>
      </c>
      <c r="N60" s="183">
        <v>0</v>
      </c>
      <c r="O60" s="183">
        <v>0</v>
      </c>
      <c r="P60" s="183">
        <v>0</v>
      </c>
      <c r="Q60" s="184"/>
      <c r="R60" s="166">
        <v>18121150</v>
      </c>
      <c r="S60" s="186"/>
      <c r="T60" s="155">
        <f>R60/$R$13*100</f>
        <v>2.4635349142122429</v>
      </c>
      <c r="V60" s="168">
        <f>SUM(E60:P60)</f>
        <v>2</v>
      </c>
      <c r="Z60" s="168"/>
    </row>
    <row r="61" spans="1:26" s="101" customFormat="1" ht="12.75">
      <c r="A61" s="156" t="s">
        <v>66</v>
      </c>
      <c r="B61" s="169"/>
      <c r="C61" s="170"/>
      <c r="D61" s="187"/>
      <c r="E61" s="188">
        <f>E60/$B$60*100</f>
        <v>0</v>
      </c>
      <c r="F61" s="188">
        <f t="shared" ref="F61:P61" si="17">F60/$B$60*100</f>
        <v>0</v>
      </c>
      <c r="G61" s="188">
        <f t="shared" si="17"/>
        <v>100</v>
      </c>
      <c r="H61" s="188">
        <f t="shared" si="17"/>
        <v>0</v>
      </c>
      <c r="I61" s="188">
        <f t="shared" si="17"/>
        <v>0</v>
      </c>
      <c r="J61" s="188">
        <f t="shared" si="17"/>
        <v>0</v>
      </c>
      <c r="K61" s="188">
        <f t="shared" si="17"/>
        <v>0</v>
      </c>
      <c r="L61" s="188">
        <f t="shared" si="17"/>
        <v>0</v>
      </c>
      <c r="M61" s="188">
        <f t="shared" si="17"/>
        <v>0</v>
      </c>
      <c r="N61" s="188">
        <f t="shared" si="17"/>
        <v>0</v>
      </c>
      <c r="O61" s="188">
        <f t="shared" si="17"/>
        <v>0</v>
      </c>
      <c r="P61" s="188">
        <f t="shared" si="17"/>
        <v>0</v>
      </c>
      <c r="Q61" s="188"/>
      <c r="R61" s="159"/>
      <c r="S61" s="159"/>
      <c r="T61" s="172"/>
    </row>
    <row r="62" spans="1:26" s="101" customFormat="1" ht="12.75">
      <c r="A62" s="156" t="s">
        <v>67</v>
      </c>
      <c r="B62" s="169"/>
      <c r="C62" s="170"/>
      <c r="D62" s="187"/>
      <c r="E62" s="188">
        <f>SUM($E$61:E61)</f>
        <v>0</v>
      </c>
      <c r="F62" s="188">
        <f>SUM($E$61:F61)</f>
        <v>0</v>
      </c>
      <c r="G62" s="188">
        <f>SUM($E$61:G61)</f>
        <v>100</v>
      </c>
      <c r="H62" s="188">
        <f>SUM($E$61:H61)</f>
        <v>100</v>
      </c>
      <c r="I62" s="188">
        <f>SUM($E$61:I61)</f>
        <v>100</v>
      </c>
      <c r="J62" s="188">
        <f>SUM($E$61:J61)</f>
        <v>100</v>
      </c>
      <c r="K62" s="188">
        <f>SUM($E$61:K61)</f>
        <v>100</v>
      </c>
      <c r="L62" s="188">
        <f>SUM($E$61:L61)</f>
        <v>100</v>
      </c>
      <c r="M62" s="188">
        <f>SUM($E$61:M61)</f>
        <v>100</v>
      </c>
      <c r="N62" s="188">
        <f>SUM($E$61:N61)</f>
        <v>100</v>
      </c>
      <c r="O62" s="188">
        <f>SUM($E$61:O61)</f>
        <v>100</v>
      </c>
      <c r="P62" s="188">
        <f>SUM($E$61:P61)</f>
        <v>100</v>
      </c>
      <c r="Q62" s="188"/>
      <c r="R62" s="161"/>
      <c r="S62" s="161"/>
      <c r="T62" s="172"/>
    </row>
    <row r="63" spans="1:26" s="101" customFormat="1" ht="12.75">
      <c r="A63" s="156" t="s">
        <v>68</v>
      </c>
      <c r="B63" s="169"/>
      <c r="C63" s="170"/>
      <c r="D63" s="187"/>
      <c r="E63" s="188">
        <f>E61*$T$60/100</f>
        <v>0</v>
      </c>
      <c r="F63" s="188">
        <f t="shared" ref="F63:P63" si="18">F61*$T$60/100</f>
        <v>0</v>
      </c>
      <c r="G63" s="188">
        <f t="shared" si="18"/>
        <v>2.4635349142122429</v>
      </c>
      <c r="H63" s="188">
        <f t="shared" si="18"/>
        <v>0</v>
      </c>
      <c r="I63" s="188">
        <f t="shared" si="18"/>
        <v>0</v>
      </c>
      <c r="J63" s="188">
        <f t="shared" si="18"/>
        <v>0</v>
      </c>
      <c r="K63" s="188">
        <f t="shared" si="18"/>
        <v>0</v>
      </c>
      <c r="L63" s="188">
        <f t="shared" si="18"/>
        <v>0</v>
      </c>
      <c r="M63" s="188">
        <f t="shared" si="18"/>
        <v>0</v>
      </c>
      <c r="N63" s="188">
        <f t="shared" si="18"/>
        <v>0</v>
      </c>
      <c r="O63" s="188">
        <f t="shared" si="18"/>
        <v>0</v>
      </c>
      <c r="P63" s="188">
        <f t="shared" si="18"/>
        <v>0</v>
      </c>
      <c r="Q63" s="188"/>
      <c r="R63" s="161"/>
      <c r="S63" s="161"/>
      <c r="T63" s="172"/>
      <c r="U63" s="162">
        <f>SUM(E63:P63)</f>
        <v>2.4635349142122429</v>
      </c>
    </row>
    <row r="64" spans="1:26" s="101" customFormat="1" ht="8.25" customHeight="1">
      <c r="A64" s="173"/>
      <c r="B64" s="174"/>
      <c r="C64" s="175"/>
      <c r="D64" s="198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78"/>
      <c r="S64" s="178"/>
      <c r="T64" s="179"/>
    </row>
    <row r="65" spans="1:26" s="101" customFormat="1" ht="8.25" customHeight="1">
      <c r="A65" s="194"/>
      <c r="B65" s="169"/>
      <c r="C65" s="170"/>
      <c r="D65" s="187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61"/>
      <c r="S65" s="161"/>
      <c r="T65" s="172"/>
    </row>
    <row r="66" spans="1:26" s="101" customFormat="1" ht="8.25" customHeight="1">
      <c r="A66" s="194"/>
      <c r="B66" s="169"/>
      <c r="C66" s="170"/>
      <c r="D66" s="187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61"/>
      <c r="S66" s="161"/>
      <c r="T66" s="172"/>
    </row>
    <row r="67" spans="1:26" s="101" customFormat="1" ht="22.5">
      <c r="A67" s="180" t="s">
        <v>81</v>
      </c>
      <c r="B67" s="191">
        <v>5</v>
      </c>
      <c r="C67" s="165" t="s">
        <v>55</v>
      </c>
      <c r="D67" s="201" t="s">
        <v>35</v>
      </c>
      <c r="E67" s="202">
        <v>0</v>
      </c>
      <c r="F67" s="202">
        <v>1</v>
      </c>
      <c r="G67" s="202">
        <v>1</v>
      </c>
      <c r="H67" s="202">
        <v>0</v>
      </c>
      <c r="I67" s="202">
        <v>1</v>
      </c>
      <c r="J67" s="202">
        <v>1</v>
      </c>
      <c r="K67" s="202">
        <v>0</v>
      </c>
      <c r="L67" s="202">
        <v>1</v>
      </c>
      <c r="M67" s="202">
        <v>0</v>
      </c>
      <c r="N67" s="202">
        <v>0</v>
      </c>
      <c r="O67" s="202">
        <v>0</v>
      </c>
      <c r="P67" s="202">
        <v>0</v>
      </c>
      <c r="Q67" s="184">
        <f>SUM(E67:P67)</f>
        <v>5</v>
      </c>
      <c r="R67" s="185">
        <v>3162500</v>
      </c>
      <c r="S67" s="167"/>
      <c r="T67" s="155">
        <f>R67/$R$13*100</f>
        <v>0.42993569206127752</v>
      </c>
      <c r="V67" s="168">
        <f>SUM(E67:P67)</f>
        <v>5</v>
      </c>
    </row>
    <row r="68" spans="1:26" s="101" customFormat="1" ht="12.75">
      <c r="A68" s="156" t="s">
        <v>66</v>
      </c>
      <c r="B68" s="169"/>
      <c r="C68" s="170"/>
      <c r="D68" s="187"/>
      <c r="E68" s="188">
        <f t="shared" ref="E68:P68" si="19">E67/$B$67*100</f>
        <v>0</v>
      </c>
      <c r="F68" s="188">
        <f t="shared" si="19"/>
        <v>20</v>
      </c>
      <c r="G68" s="188">
        <f t="shared" si="19"/>
        <v>20</v>
      </c>
      <c r="H68" s="188">
        <f t="shared" si="19"/>
        <v>0</v>
      </c>
      <c r="I68" s="188">
        <f t="shared" si="19"/>
        <v>20</v>
      </c>
      <c r="J68" s="188">
        <f t="shared" si="19"/>
        <v>20</v>
      </c>
      <c r="K68" s="188">
        <f t="shared" si="19"/>
        <v>0</v>
      </c>
      <c r="L68" s="188">
        <f t="shared" si="19"/>
        <v>20</v>
      </c>
      <c r="M68" s="188">
        <f t="shared" si="19"/>
        <v>0</v>
      </c>
      <c r="N68" s="188">
        <f t="shared" si="19"/>
        <v>0</v>
      </c>
      <c r="O68" s="188">
        <f t="shared" si="19"/>
        <v>0</v>
      </c>
      <c r="P68" s="188">
        <f t="shared" si="19"/>
        <v>0</v>
      </c>
      <c r="Q68" s="188"/>
      <c r="R68" s="159"/>
      <c r="S68" s="159"/>
      <c r="T68" s="172"/>
    </row>
    <row r="69" spans="1:26" s="101" customFormat="1" ht="12.75">
      <c r="A69" s="156" t="s">
        <v>67</v>
      </c>
      <c r="B69" s="169"/>
      <c r="C69" s="170"/>
      <c r="D69" s="187"/>
      <c r="E69" s="188">
        <f>SUM($E$68:E68)</f>
        <v>0</v>
      </c>
      <c r="F69" s="188">
        <f>SUM($E$68:F68)</f>
        <v>20</v>
      </c>
      <c r="G69" s="188">
        <f>SUM($E$68:G68)</f>
        <v>40</v>
      </c>
      <c r="H69" s="188">
        <f>SUM($E$68:H68)</f>
        <v>40</v>
      </c>
      <c r="I69" s="188">
        <f>SUM($E$68:I68)</f>
        <v>60</v>
      </c>
      <c r="J69" s="188">
        <f>SUM($E$68:J68)</f>
        <v>80</v>
      </c>
      <c r="K69" s="188">
        <f>SUM($E$68:K68)</f>
        <v>80</v>
      </c>
      <c r="L69" s="188">
        <f>SUM($E$68:L68)</f>
        <v>100</v>
      </c>
      <c r="M69" s="188">
        <f>SUM($E$68:M68)</f>
        <v>100</v>
      </c>
      <c r="N69" s="188">
        <f>SUM($E$68:N68)</f>
        <v>100</v>
      </c>
      <c r="O69" s="188">
        <f>SUM($E$68:O68)</f>
        <v>100</v>
      </c>
      <c r="P69" s="188">
        <f>SUM($E$68:P68)</f>
        <v>100</v>
      </c>
      <c r="Q69" s="188"/>
      <c r="R69" s="161"/>
      <c r="S69" s="161"/>
      <c r="T69" s="172"/>
    </row>
    <row r="70" spans="1:26" s="101" customFormat="1" ht="12.75">
      <c r="A70" s="156" t="s">
        <v>68</v>
      </c>
      <c r="B70" s="169"/>
      <c r="C70" s="170"/>
      <c r="D70" s="187"/>
      <c r="E70" s="188">
        <f>E68*$T$67/100</f>
        <v>0</v>
      </c>
      <c r="F70" s="188">
        <f t="shared" ref="F70:P70" si="20">F68*$T$67/100</f>
        <v>8.5987138412255498E-2</v>
      </c>
      <c r="G70" s="188">
        <f t="shared" si="20"/>
        <v>8.5987138412255498E-2</v>
      </c>
      <c r="H70" s="188">
        <f t="shared" si="20"/>
        <v>0</v>
      </c>
      <c r="I70" s="188">
        <f t="shared" si="20"/>
        <v>8.5987138412255498E-2</v>
      </c>
      <c r="J70" s="188">
        <f t="shared" si="20"/>
        <v>8.5987138412255498E-2</v>
      </c>
      <c r="K70" s="188">
        <f t="shared" si="20"/>
        <v>0</v>
      </c>
      <c r="L70" s="188">
        <f t="shared" si="20"/>
        <v>8.5987138412255498E-2</v>
      </c>
      <c r="M70" s="188">
        <f t="shared" si="20"/>
        <v>0</v>
      </c>
      <c r="N70" s="188">
        <f t="shared" si="20"/>
        <v>0</v>
      </c>
      <c r="O70" s="188">
        <f t="shared" si="20"/>
        <v>0</v>
      </c>
      <c r="P70" s="188">
        <f t="shared" si="20"/>
        <v>0</v>
      </c>
      <c r="Q70" s="188"/>
      <c r="R70" s="161"/>
      <c r="S70" s="161"/>
      <c r="T70" s="172"/>
      <c r="U70" s="162">
        <f>SUM(E70:P70)</f>
        <v>0.42993569206127746</v>
      </c>
    </row>
    <row r="71" spans="1:26" s="101" customFormat="1" ht="8.25" customHeight="1">
      <c r="A71" s="173"/>
      <c r="B71" s="174"/>
      <c r="C71" s="175"/>
      <c r="D71" s="198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78"/>
      <c r="S71" s="178"/>
      <c r="T71" s="179"/>
    </row>
    <row r="72" spans="1:26" s="101" customFormat="1" ht="12.75">
      <c r="A72" s="180" t="s">
        <v>82</v>
      </c>
      <c r="B72" s="164">
        <v>2</v>
      </c>
      <c r="C72" s="181" t="s">
        <v>55</v>
      </c>
      <c r="D72" s="201" t="s">
        <v>35</v>
      </c>
      <c r="E72" s="164">
        <v>0.16700000000000001</v>
      </c>
      <c r="F72" s="164">
        <v>0.16700000000000001</v>
      </c>
      <c r="G72" s="164">
        <v>0.16700000000000001</v>
      </c>
      <c r="H72" s="164">
        <v>0.16700000000000001</v>
      </c>
      <c r="I72" s="164">
        <v>0.16700000000000001</v>
      </c>
      <c r="J72" s="164">
        <v>0.16700000000000001</v>
      </c>
      <c r="K72" s="164">
        <v>0.16700000000000001</v>
      </c>
      <c r="L72" s="164">
        <v>0.16700000000000001</v>
      </c>
      <c r="M72" s="164">
        <v>0.16700000000000001</v>
      </c>
      <c r="N72" s="164">
        <v>0.16700000000000001</v>
      </c>
      <c r="O72" s="164">
        <v>0.16700000000000001</v>
      </c>
      <c r="P72" s="164">
        <v>0.16200000000000001</v>
      </c>
      <c r="Q72" s="184">
        <f>SUM(E72:P72)</f>
        <v>1.9990000000000001</v>
      </c>
      <c r="R72" s="185">
        <v>2700000</v>
      </c>
      <c r="S72" s="186"/>
      <c r="T72" s="155">
        <f>R72/$R$13*100</f>
        <v>0.3670597212855175</v>
      </c>
      <c r="V72" s="168">
        <f>SUM(E72:P72)</f>
        <v>1.9990000000000001</v>
      </c>
      <c r="Y72" s="101" t="s">
        <v>60</v>
      </c>
      <c r="Z72" s="168"/>
    </row>
    <row r="73" spans="1:26" s="101" customFormat="1" ht="12.75">
      <c r="A73" s="156" t="s">
        <v>66</v>
      </c>
      <c r="B73" s="169"/>
      <c r="C73" s="170"/>
      <c r="D73" s="187"/>
      <c r="E73" s="188">
        <f t="shared" ref="E73:P73" si="21">E72/$B$72*100</f>
        <v>8.35</v>
      </c>
      <c r="F73" s="188">
        <f t="shared" si="21"/>
        <v>8.35</v>
      </c>
      <c r="G73" s="188">
        <f t="shared" si="21"/>
        <v>8.35</v>
      </c>
      <c r="H73" s="188">
        <f t="shared" si="21"/>
        <v>8.35</v>
      </c>
      <c r="I73" s="188">
        <f t="shared" si="21"/>
        <v>8.35</v>
      </c>
      <c r="J73" s="188">
        <f t="shared" si="21"/>
        <v>8.35</v>
      </c>
      <c r="K73" s="188">
        <f t="shared" si="21"/>
        <v>8.35</v>
      </c>
      <c r="L73" s="188">
        <f t="shared" si="21"/>
        <v>8.35</v>
      </c>
      <c r="M73" s="188">
        <f t="shared" si="21"/>
        <v>8.35</v>
      </c>
      <c r="N73" s="188">
        <f t="shared" si="21"/>
        <v>8.35</v>
      </c>
      <c r="O73" s="188">
        <f t="shared" si="21"/>
        <v>8.35</v>
      </c>
      <c r="P73" s="188">
        <f t="shared" si="21"/>
        <v>8.1</v>
      </c>
      <c r="Q73" s="188"/>
      <c r="R73" s="159"/>
      <c r="S73" s="159"/>
      <c r="T73" s="172"/>
    </row>
    <row r="74" spans="1:26" s="101" customFormat="1" ht="12.75">
      <c r="A74" s="156" t="s">
        <v>67</v>
      </c>
      <c r="B74" s="169"/>
      <c r="C74" s="170"/>
      <c r="D74" s="187"/>
      <c r="E74" s="188">
        <f>SUM($E$73:E73)</f>
        <v>8.35</v>
      </c>
      <c r="F74" s="188">
        <f>SUM($E$73:F73)</f>
        <v>16.7</v>
      </c>
      <c r="G74" s="188">
        <f>SUM($E$73:G73)</f>
        <v>25.049999999999997</v>
      </c>
      <c r="H74" s="188">
        <f>SUM($E$73:H73)</f>
        <v>33.4</v>
      </c>
      <c r="I74" s="188">
        <f>SUM($E$73:I73)</f>
        <v>41.75</v>
      </c>
      <c r="J74" s="188">
        <f>SUM($E$73:J73)</f>
        <v>50.1</v>
      </c>
      <c r="K74" s="188">
        <f>SUM($E$73:K73)</f>
        <v>58.45</v>
      </c>
      <c r="L74" s="188">
        <f>SUM($E$73:L73)</f>
        <v>66.8</v>
      </c>
      <c r="M74" s="188">
        <f>SUM($E$73:M73)</f>
        <v>75.149999999999991</v>
      </c>
      <c r="N74" s="188">
        <f>SUM($E$73:N73)</f>
        <v>83.499999999999986</v>
      </c>
      <c r="O74" s="188">
        <f>SUM($E$73:O73)</f>
        <v>91.84999999999998</v>
      </c>
      <c r="P74" s="188">
        <f>SUM($E$73:P73)</f>
        <v>99.949999999999974</v>
      </c>
      <c r="Q74" s="188"/>
      <c r="R74" s="161"/>
      <c r="S74" s="161"/>
      <c r="T74" s="172"/>
    </row>
    <row r="75" spans="1:26" s="101" customFormat="1" ht="12.75">
      <c r="A75" s="156" t="s">
        <v>68</v>
      </c>
      <c r="B75" s="169"/>
      <c r="C75" s="170"/>
      <c r="D75" s="187"/>
      <c r="E75" s="188">
        <f>E73*$T$72/100</f>
        <v>3.0649486727340709E-2</v>
      </c>
      <c r="F75" s="188">
        <f t="shared" ref="F75:P75" si="22">F73*$T$72/100</f>
        <v>3.0649486727340709E-2</v>
      </c>
      <c r="G75" s="188">
        <f t="shared" si="22"/>
        <v>3.0649486727340709E-2</v>
      </c>
      <c r="H75" s="188">
        <f t="shared" si="22"/>
        <v>3.0649486727340709E-2</v>
      </c>
      <c r="I75" s="188">
        <f t="shared" si="22"/>
        <v>3.0649486727340709E-2</v>
      </c>
      <c r="J75" s="188">
        <f t="shared" si="22"/>
        <v>3.0649486727340709E-2</v>
      </c>
      <c r="K75" s="188">
        <f t="shared" si="22"/>
        <v>3.0649486727340709E-2</v>
      </c>
      <c r="L75" s="188">
        <f t="shared" si="22"/>
        <v>3.0649486727340709E-2</v>
      </c>
      <c r="M75" s="188">
        <f t="shared" si="22"/>
        <v>3.0649486727340709E-2</v>
      </c>
      <c r="N75" s="188">
        <f t="shared" si="22"/>
        <v>3.0649486727340709E-2</v>
      </c>
      <c r="O75" s="188">
        <f t="shared" si="22"/>
        <v>3.0649486727340709E-2</v>
      </c>
      <c r="P75" s="188">
        <f t="shared" si="22"/>
        <v>2.9731837424126915E-2</v>
      </c>
      <c r="Q75" s="188"/>
      <c r="R75" s="161"/>
      <c r="S75" s="161"/>
      <c r="T75" s="172"/>
      <c r="U75" s="162">
        <f>SUM(E75:P75)</f>
        <v>0.36687619142487471</v>
      </c>
    </row>
    <row r="76" spans="1:26" s="101" customFormat="1" ht="8.25" customHeight="1">
      <c r="A76" s="189"/>
      <c r="B76" s="169"/>
      <c r="C76" s="170"/>
      <c r="D76" s="187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78"/>
      <c r="S76" s="161"/>
      <c r="T76" s="172"/>
    </row>
    <row r="77" spans="1:26" s="101" customFormat="1" ht="22.5">
      <c r="A77" s="180" t="s">
        <v>83</v>
      </c>
      <c r="B77" s="164">
        <v>14</v>
      </c>
      <c r="C77" s="181" t="s">
        <v>84</v>
      </c>
      <c r="D77" s="201" t="s">
        <v>35</v>
      </c>
      <c r="E77" s="183">
        <v>0</v>
      </c>
      <c r="F77" s="183">
        <v>0</v>
      </c>
      <c r="G77" s="183">
        <v>0</v>
      </c>
      <c r="H77" s="183">
        <v>0</v>
      </c>
      <c r="I77" s="183">
        <v>0</v>
      </c>
      <c r="J77" s="183">
        <v>0</v>
      </c>
      <c r="K77" s="183">
        <v>0</v>
      </c>
      <c r="L77" s="183">
        <v>5</v>
      </c>
      <c r="M77" s="183">
        <v>0</v>
      </c>
      <c r="N77" s="183">
        <v>9</v>
      </c>
      <c r="O77" s="183">
        <v>0</v>
      </c>
      <c r="P77" s="183">
        <v>0</v>
      </c>
      <c r="Q77" s="184">
        <f>SUM(E77:P77)</f>
        <v>14</v>
      </c>
      <c r="R77" s="185">
        <v>2450000</v>
      </c>
      <c r="S77" s="186"/>
      <c r="T77" s="155">
        <f>R77/$R$13*100</f>
        <v>0.33307271005537703</v>
      </c>
      <c r="Y77" s="101" t="s">
        <v>60</v>
      </c>
    </row>
    <row r="78" spans="1:26" s="101" customFormat="1" ht="12.75">
      <c r="A78" s="156" t="s">
        <v>66</v>
      </c>
      <c r="B78" s="169"/>
      <c r="C78" s="170"/>
      <c r="D78" s="187"/>
      <c r="E78" s="188">
        <f>E77/$B$77*100</f>
        <v>0</v>
      </c>
      <c r="F78" s="188">
        <f t="shared" ref="F78:P78" si="23">F77/$B$77*100</f>
        <v>0</v>
      </c>
      <c r="G78" s="188">
        <f>G77/$B$77*100</f>
        <v>0</v>
      </c>
      <c r="H78" s="188">
        <f t="shared" si="23"/>
        <v>0</v>
      </c>
      <c r="I78" s="188">
        <f t="shared" si="23"/>
        <v>0</v>
      </c>
      <c r="J78" s="188">
        <f t="shared" si="23"/>
        <v>0</v>
      </c>
      <c r="K78" s="188">
        <f t="shared" si="23"/>
        <v>0</v>
      </c>
      <c r="L78" s="188">
        <f t="shared" si="23"/>
        <v>35.714285714285715</v>
      </c>
      <c r="M78" s="188">
        <f t="shared" si="23"/>
        <v>0</v>
      </c>
      <c r="N78" s="188">
        <f t="shared" si="23"/>
        <v>64.285714285714292</v>
      </c>
      <c r="O78" s="188">
        <f t="shared" si="23"/>
        <v>0</v>
      </c>
      <c r="P78" s="188">
        <f t="shared" si="23"/>
        <v>0</v>
      </c>
      <c r="Q78" s="188"/>
      <c r="R78" s="159"/>
      <c r="S78" s="159"/>
      <c r="T78" s="172"/>
    </row>
    <row r="79" spans="1:26" s="101" customFormat="1" ht="12.75">
      <c r="A79" s="156" t="s">
        <v>67</v>
      </c>
      <c r="B79" s="169"/>
      <c r="C79" s="170"/>
      <c r="D79" s="187"/>
      <c r="E79" s="188">
        <f>SUM($E$78:E78)</f>
        <v>0</v>
      </c>
      <c r="F79" s="188">
        <f>SUM($E$78:F78)</f>
        <v>0</v>
      </c>
      <c r="G79" s="188">
        <f>SUM($E$78:G78)</f>
        <v>0</v>
      </c>
      <c r="H79" s="188">
        <f>SUM($E$78:H78)</f>
        <v>0</v>
      </c>
      <c r="I79" s="188">
        <f>SUM($E$78:I78)</f>
        <v>0</v>
      </c>
      <c r="J79" s="188">
        <f>SUM($E$78:J78)</f>
        <v>0</v>
      </c>
      <c r="K79" s="188">
        <f>SUM($E$78:K78)</f>
        <v>0</v>
      </c>
      <c r="L79" s="188">
        <f>SUM($E$78:L78)</f>
        <v>35.714285714285715</v>
      </c>
      <c r="M79" s="188">
        <f>SUM($E$78:M78)</f>
        <v>35.714285714285715</v>
      </c>
      <c r="N79" s="188">
        <f>SUM($E$78:N78)</f>
        <v>100</v>
      </c>
      <c r="O79" s="188">
        <f>SUM($E$78:O78)</f>
        <v>100</v>
      </c>
      <c r="P79" s="188">
        <f>SUM($E$78:P78)</f>
        <v>100</v>
      </c>
      <c r="Q79" s="188"/>
      <c r="R79" s="161"/>
      <c r="S79" s="161"/>
      <c r="T79" s="172"/>
    </row>
    <row r="80" spans="1:26" s="101" customFormat="1" ht="12.75">
      <c r="A80" s="156" t="s">
        <v>68</v>
      </c>
      <c r="B80" s="169"/>
      <c r="C80" s="170"/>
      <c r="D80" s="187"/>
      <c r="E80" s="188">
        <f>E78*$T$77/100</f>
        <v>0</v>
      </c>
      <c r="F80" s="188">
        <f t="shared" ref="F80:P80" si="24">F78*$T$77/100</f>
        <v>0</v>
      </c>
      <c r="G80" s="188">
        <f t="shared" si="24"/>
        <v>0</v>
      </c>
      <c r="H80" s="188">
        <f t="shared" si="24"/>
        <v>0</v>
      </c>
      <c r="I80" s="188">
        <f t="shared" si="24"/>
        <v>0</v>
      </c>
      <c r="J80" s="188">
        <f t="shared" si="24"/>
        <v>0</v>
      </c>
      <c r="K80" s="188">
        <f t="shared" si="24"/>
        <v>0</v>
      </c>
      <c r="L80" s="188">
        <f t="shared" si="24"/>
        <v>0.11895453930549181</v>
      </c>
      <c r="M80" s="188">
        <f t="shared" si="24"/>
        <v>0</v>
      </c>
      <c r="N80" s="188">
        <f t="shared" si="24"/>
        <v>0.21411817074988526</v>
      </c>
      <c r="O80" s="188">
        <f t="shared" si="24"/>
        <v>0</v>
      </c>
      <c r="P80" s="188">
        <f t="shared" si="24"/>
        <v>0</v>
      </c>
      <c r="Q80" s="188"/>
      <c r="R80" s="161"/>
      <c r="S80" s="161"/>
      <c r="T80" s="172"/>
      <c r="U80" s="162">
        <f>SUM(E80:P80)</f>
        <v>0.33307271005537709</v>
      </c>
    </row>
    <row r="81" spans="1:25" s="101" customFormat="1" ht="8.25" customHeight="1">
      <c r="A81" s="189"/>
      <c r="B81" s="203"/>
      <c r="C81" s="204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78"/>
      <c r="S81" s="161"/>
      <c r="T81" s="172"/>
    </row>
    <row r="82" spans="1:25" s="101" customFormat="1" ht="22.5">
      <c r="A82" s="180" t="s">
        <v>85</v>
      </c>
      <c r="B82" s="164">
        <v>51</v>
      </c>
      <c r="C82" s="181" t="s">
        <v>55</v>
      </c>
      <c r="D82" s="201" t="s">
        <v>35</v>
      </c>
      <c r="E82" s="183">
        <v>0</v>
      </c>
      <c r="F82" s="183">
        <v>10</v>
      </c>
      <c r="G82" s="183">
        <v>9</v>
      </c>
      <c r="H82" s="183">
        <v>3</v>
      </c>
      <c r="I82" s="183">
        <v>1</v>
      </c>
      <c r="J82" s="183">
        <v>9</v>
      </c>
      <c r="K82" s="183">
        <v>3</v>
      </c>
      <c r="L82" s="183">
        <v>1</v>
      </c>
      <c r="M82" s="183">
        <v>3</v>
      </c>
      <c r="N82" s="183">
        <v>6</v>
      </c>
      <c r="O82" s="183">
        <v>5</v>
      </c>
      <c r="P82" s="183">
        <v>1</v>
      </c>
      <c r="Q82" s="184">
        <f>SUM(E82:P82)</f>
        <v>51</v>
      </c>
      <c r="R82" s="185">
        <f>53922715+3885000+3000000</f>
        <v>60807715</v>
      </c>
      <c r="S82" s="186"/>
      <c r="T82" s="155">
        <f>R82/$R$13*100</f>
        <v>8.2666899703367349</v>
      </c>
      <c r="Y82" s="101" t="s">
        <v>60</v>
      </c>
    </row>
    <row r="83" spans="1:25" s="101" customFormat="1" ht="12.75">
      <c r="A83" s="156" t="s">
        <v>66</v>
      </c>
      <c r="B83" s="169"/>
      <c r="C83" s="170"/>
      <c r="D83" s="187"/>
      <c r="E83" s="188">
        <f t="shared" ref="E83:F83" si="25">E82/$B$82*100</f>
        <v>0</v>
      </c>
      <c r="F83" s="188">
        <f t="shared" si="25"/>
        <v>19.607843137254903</v>
      </c>
      <c r="G83" s="188">
        <f>G82/$B$82*100</f>
        <v>17.647058823529413</v>
      </c>
      <c r="H83" s="188">
        <f t="shared" ref="H83:P83" si="26">H82/$B$82*100</f>
        <v>5.8823529411764701</v>
      </c>
      <c r="I83" s="188">
        <f t="shared" si="26"/>
        <v>1.9607843137254901</v>
      </c>
      <c r="J83" s="188">
        <f t="shared" si="26"/>
        <v>17.647058823529413</v>
      </c>
      <c r="K83" s="188">
        <f t="shared" si="26"/>
        <v>5.8823529411764701</v>
      </c>
      <c r="L83" s="188">
        <f t="shared" si="26"/>
        <v>1.9607843137254901</v>
      </c>
      <c r="M83" s="188">
        <f t="shared" si="26"/>
        <v>5.8823529411764701</v>
      </c>
      <c r="N83" s="188">
        <f t="shared" si="26"/>
        <v>11.76470588235294</v>
      </c>
      <c r="O83" s="188">
        <f t="shared" si="26"/>
        <v>9.8039215686274517</v>
      </c>
      <c r="P83" s="188">
        <f t="shared" si="26"/>
        <v>1.9607843137254901</v>
      </c>
      <c r="Q83" s="188"/>
      <c r="R83" s="159"/>
      <c r="S83" s="159"/>
      <c r="T83" s="172"/>
    </row>
    <row r="84" spans="1:25" s="101" customFormat="1" ht="12.75">
      <c r="A84" s="156" t="s">
        <v>67</v>
      </c>
      <c r="B84" s="169"/>
      <c r="C84" s="170"/>
      <c r="D84" s="187"/>
      <c r="E84" s="188">
        <f>SUM($E$83:E83)</f>
        <v>0</v>
      </c>
      <c r="F84" s="188">
        <f>SUM($E$83:F83)</f>
        <v>19.607843137254903</v>
      </c>
      <c r="G84" s="188">
        <f>SUM($E$83:G83)</f>
        <v>37.254901960784316</v>
      </c>
      <c r="H84" s="188">
        <f>SUM($E$83:H83)</f>
        <v>43.137254901960787</v>
      </c>
      <c r="I84" s="188">
        <f>SUM($E$83:I83)</f>
        <v>45.098039215686278</v>
      </c>
      <c r="J84" s="188">
        <f>SUM($E$83:J83)</f>
        <v>62.745098039215691</v>
      </c>
      <c r="K84" s="188">
        <f>SUM($E$83:K83)</f>
        <v>68.627450980392155</v>
      </c>
      <c r="L84" s="188">
        <f>SUM($E$83:L83)</f>
        <v>70.588235294117638</v>
      </c>
      <c r="M84" s="188">
        <f>SUM($E$83:M83)</f>
        <v>76.470588235294102</v>
      </c>
      <c r="N84" s="188">
        <f>SUM($E$83:N83)</f>
        <v>88.235294117647044</v>
      </c>
      <c r="O84" s="188">
        <f>SUM($E$83:O83)</f>
        <v>98.039215686274503</v>
      </c>
      <c r="P84" s="188">
        <f>SUM($E$83:P83)</f>
        <v>99.999999999999986</v>
      </c>
      <c r="Q84" s="188"/>
      <c r="R84" s="161"/>
      <c r="S84" s="161"/>
      <c r="T84" s="172"/>
    </row>
    <row r="85" spans="1:25" s="101" customFormat="1" ht="12.75">
      <c r="A85" s="156" t="s">
        <v>68</v>
      </c>
      <c r="B85" s="169"/>
      <c r="C85" s="170"/>
      <c r="D85" s="187"/>
      <c r="E85" s="188">
        <f>E83*$T$77/100</f>
        <v>0</v>
      </c>
      <c r="F85" s="188">
        <f>F83*$T$82/100</f>
        <v>1.6209196020268108</v>
      </c>
      <c r="G85" s="188">
        <f t="shared" ref="G85:P85" si="27">G83*$T$82/100</f>
        <v>1.4588276418241299</v>
      </c>
      <c r="H85" s="188">
        <f t="shared" si="27"/>
        <v>0.48627588060804322</v>
      </c>
      <c r="I85" s="188">
        <f t="shared" si="27"/>
        <v>0.16209196020268105</v>
      </c>
      <c r="J85" s="188">
        <f t="shared" si="27"/>
        <v>1.4588276418241299</v>
      </c>
      <c r="K85" s="188">
        <f t="shared" si="27"/>
        <v>0.48627588060804322</v>
      </c>
      <c r="L85" s="188">
        <f t="shared" si="27"/>
        <v>0.16209196020268105</v>
      </c>
      <c r="M85" s="188">
        <f t="shared" si="27"/>
        <v>0.48627588060804322</v>
      </c>
      <c r="N85" s="188">
        <f t="shared" si="27"/>
        <v>0.97255176121608644</v>
      </c>
      <c r="O85" s="188">
        <f t="shared" si="27"/>
        <v>0.81045980101340542</v>
      </c>
      <c r="P85" s="188">
        <f t="shared" si="27"/>
        <v>0.16209196020268105</v>
      </c>
      <c r="Q85" s="188"/>
      <c r="R85" s="161"/>
      <c r="S85" s="161"/>
      <c r="T85" s="172"/>
      <c r="U85" s="162">
        <f>SUM(E85:P85)</f>
        <v>8.2666899703367349</v>
      </c>
    </row>
    <row r="86" spans="1:25" s="101" customFormat="1" ht="22.5">
      <c r="A86" s="180" t="s">
        <v>86</v>
      </c>
      <c r="B86" s="164">
        <v>3</v>
      </c>
      <c r="C86" s="181" t="s">
        <v>55</v>
      </c>
      <c r="D86" s="201" t="s">
        <v>35</v>
      </c>
      <c r="E86" s="183">
        <v>0</v>
      </c>
      <c r="F86" s="183">
        <v>1</v>
      </c>
      <c r="G86" s="183">
        <v>0</v>
      </c>
      <c r="H86" s="183">
        <v>0</v>
      </c>
      <c r="I86" s="183">
        <v>0</v>
      </c>
      <c r="J86" s="183">
        <v>1</v>
      </c>
      <c r="K86" s="183">
        <v>0</v>
      </c>
      <c r="L86" s="183">
        <v>0</v>
      </c>
      <c r="M86" s="183">
        <v>1</v>
      </c>
      <c r="N86" s="183">
        <v>0</v>
      </c>
      <c r="O86" s="183">
        <v>0</v>
      </c>
      <c r="P86" s="183">
        <v>0</v>
      </c>
      <c r="Q86" s="184">
        <f>SUM(E86:P86)</f>
        <v>3</v>
      </c>
      <c r="R86" s="185">
        <f>13224800+4500000</f>
        <v>17724800</v>
      </c>
      <c r="S86" s="186"/>
      <c r="T86" s="155">
        <f>R86/$R$13*100</f>
        <v>2.4096519066079782</v>
      </c>
      <c r="Y86" s="101" t="s">
        <v>60</v>
      </c>
    </row>
    <row r="87" spans="1:25" s="101" customFormat="1" ht="12.75">
      <c r="A87" s="156" t="s">
        <v>66</v>
      </c>
      <c r="B87" s="169"/>
      <c r="C87" s="170"/>
      <c r="D87" s="187"/>
      <c r="E87" s="188">
        <f>E86/$B$86*100</f>
        <v>0</v>
      </c>
      <c r="F87" s="188">
        <f t="shared" ref="F87:P87" si="28">F86/$B$86*100</f>
        <v>33.333333333333329</v>
      </c>
      <c r="G87" s="188">
        <f t="shared" si="28"/>
        <v>0</v>
      </c>
      <c r="H87" s="188">
        <f t="shared" si="28"/>
        <v>0</v>
      </c>
      <c r="I87" s="188">
        <f t="shared" si="28"/>
        <v>0</v>
      </c>
      <c r="J87" s="188">
        <f t="shared" si="28"/>
        <v>33.333333333333329</v>
      </c>
      <c r="K87" s="188">
        <f t="shared" si="28"/>
        <v>0</v>
      </c>
      <c r="L87" s="188">
        <f t="shared" si="28"/>
        <v>0</v>
      </c>
      <c r="M87" s="188">
        <f t="shared" si="28"/>
        <v>33.333333333333329</v>
      </c>
      <c r="N87" s="188">
        <f t="shared" si="28"/>
        <v>0</v>
      </c>
      <c r="O87" s="188">
        <f t="shared" si="28"/>
        <v>0</v>
      </c>
      <c r="P87" s="188">
        <f t="shared" si="28"/>
        <v>0</v>
      </c>
      <c r="Q87" s="188"/>
      <c r="R87" s="159"/>
      <c r="S87" s="159"/>
      <c r="T87" s="172"/>
    </row>
    <row r="88" spans="1:25" s="101" customFormat="1" ht="12.75">
      <c r="A88" s="156" t="s">
        <v>67</v>
      </c>
      <c r="B88" s="169"/>
      <c r="C88" s="170"/>
      <c r="D88" s="187"/>
      <c r="E88" s="188">
        <f>SUM($E$87:E87)</f>
        <v>0</v>
      </c>
      <c r="F88" s="188">
        <f>SUM($E$87:F87)</f>
        <v>33.333333333333329</v>
      </c>
      <c r="G88" s="188">
        <f>SUM($E$87:G87)</f>
        <v>33.333333333333329</v>
      </c>
      <c r="H88" s="188">
        <f>SUM($E$87:H87)</f>
        <v>33.333333333333329</v>
      </c>
      <c r="I88" s="188">
        <f>SUM($E$87:I87)</f>
        <v>33.333333333333329</v>
      </c>
      <c r="J88" s="188">
        <f>SUM($E$87:J87)</f>
        <v>66.666666666666657</v>
      </c>
      <c r="K88" s="188">
        <f>SUM($E$87:K87)</f>
        <v>66.666666666666657</v>
      </c>
      <c r="L88" s="188">
        <f>SUM($E$87:L87)</f>
        <v>66.666666666666657</v>
      </c>
      <c r="M88" s="188">
        <f>SUM($E$87:M87)</f>
        <v>99.999999999999986</v>
      </c>
      <c r="N88" s="188">
        <f>SUM($E$87:N87)</f>
        <v>99.999999999999986</v>
      </c>
      <c r="O88" s="188">
        <f>SUM($E$87:O87)</f>
        <v>99.999999999999986</v>
      </c>
      <c r="P88" s="188">
        <f>SUM($E$87:P87)</f>
        <v>99.999999999999986</v>
      </c>
      <c r="Q88" s="188">
        <f>SUM($E$78:Q87)</f>
        <v>1497.8322556775904</v>
      </c>
      <c r="R88" s="161"/>
      <c r="S88" s="161"/>
      <c r="T88" s="172"/>
    </row>
    <row r="89" spans="1:25" s="101" customFormat="1" ht="12.75">
      <c r="A89" s="156" t="s">
        <v>68</v>
      </c>
      <c r="B89" s="169"/>
      <c r="C89" s="170"/>
      <c r="D89" s="187"/>
      <c r="E89" s="188">
        <f>E87*$T$86/100</f>
        <v>0</v>
      </c>
      <c r="F89" s="188">
        <f t="shared" ref="F89:P89" si="29">F87*$T$86/100</f>
        <v>0.8032173022026593</v>
      </c>
      <c r="G89" s="188">
        <f t="shared" si="29"/>
        <v>0</v>
      </c>
      <c r="H89" s="188">
        <f t="shared" si="29"/>
        <v>0</v>
      </c>
      <c r="I89" s="188">
        <f t="shared" si="29"/>
        <v>0</v>
      </c>
      <c r="J89" s="188">
        <f t="shared" si="29"/>
        <v>0.8032173022026593</v>
      </c>
      <c r="K89" s="188">
        <f t="shared" si="29"/>
        <v>0</v>
      </c>
      <c r="L89" s="188">
        <f t="shared" si="29"/>
        <v>0</v>
      </c>
      <c r="M89" s="188">
        <f t="shared" si="29"/>
        <v>0.8032173022026593</v>
      </c>
      <c r="N89" s="188">
        <f t="shared" si="29"/>
        <v>0</v>
      </c>
      <c r="O89" s="188">
        <f t="shared" si="29"/>
        <v>0</v>
      </c>
      <c r="P89" s="188">
        <f t="shared" si="29"/>
        <v>0</v>
      </c>
      <c r="Q89" s="188"/>
      <c r="R89" s="161"/>
      <c r="S89" s="161"/>
      <c r="T89" s="172"/>
      <c r="U89" s="162">
        <f>SUM(E89:P89)</f>
        <v>2.4096519066079778</v>
      </c>
    </row>
    <row r="90" spans="1:25" s="101" customFormat="1" ht="12.75">
      <c r="A90" s="180" t="s">
        <v>87</v>
      </c>
      <c r="B90" s="164">
        <v>12</v>
      </c>
      <c r="C90" s="181" t="s">
        <v>76</v>
      </c>
      <c r="D90" s="201" t="s">
        <v>35</v>
      </c>
      <c r="E90" s="183">
        <v>1</v>
      </c>
      <c r="F90" s="183">
        <v>1</v>
      </c>
      <c r="G90" s="183">
        <v>1</v>
      </c>
      <c r="H90" s="183">
        <v>1</v>
      </c>
      <c r="I90" s="183">
        <v>1</v>
      </c>
      <c r="J90" s="183">
        <v>1</v>
      </c>
      <c r="K90" s="183">
        <v>1</v>
      </c>
      <c r="L90" s="183">
        <v>1</v>
      </c>
      <c r="M90" s="183">
        <v>1</v>
      </c>
      <c r="N90" s="183">
        <v>1</v>
      </c>
      <c r="O90" s="183">
        <v>1</v>
      </c>
      <c r="P90" s="183">
        <v>1</v>
      </c>
      <c r="Q90" s="184">
        <f>SUM(E90:P90)</f>
        <v>12</v>
      </c>
      <c r="R90" s="185">
        <v>7800000</v>
      </c>
      <c r="S90" s="186"/>
      <c r="T90" s="155">
        <f>R90/$R$13*100</f>
        <v>1.0603947503803839</v>
      </c>
      <c r="Y90" s="101" t="s">
        <v>60</v>
      </c>
    </row>
    <row r="91" spans="1:25" s="101" customFormat="1" ht="12.75">
      <c r="A91" s="156" t="s">
        <v>66</v>
      </c>
      <c r="B91" s="169"/>
      <c r="C91" s="170"/>
      <c r="D91" s="187"/>
      <c r="E91" s="188">
        <f>E90/$B$90*100</f>
        <v>8.3333333333333321</v>
      </c>
      <c r="F91" s="188">
        <f t="shared" ref="F91:P91" si="30">F90/$B$90*100</f>
        <v>8.3333333333333321</v>
      </c>
      <c r="G91" s="188">
        <f t="shared" si="30"/>
        <v>8.3333333333333321</v>
      </c>
      <c r="H91" s="188">
        <f t="shared" si="30"/>
        <v>8.3333333333333321</v>
      </c>
      <c r="I91" s="188">
        <f t="shared" si="30"/>
        <v>8.3333333333333321</v>
      </c>
      <c r="J91" s="188">
        <f t="shared" si="30"/>
        <v>8.3333333333333321</v>
      </c>
      <c r="K91" s="188">
        <f t="shared" si="30"/>
        <v>8.3333333333333321</v>
      </c>
      <c r="L91" s="188">
        <f t="shared" si="30"/>
        <v>8.3333333333333321</v>
      </c>
      <c r="M91" s="188">
        <f t="shared" si="30"/>
        <v>8.3333333333333321</v>
      </c>
      <c r="N91" s="188">
        <f t="shared" si="30"/>
        <v>8.3333333333333321</v>
      </c>
      <c r="O91" s="188">
        <f t="shared" si="30"/>
        <v>8.3333333333333321</v>
      </c>
      <c r="P91" s="188">
        <f t="shared" si="30"/>
        <v>8.3333333333333321</v>
      </c>
      <c r="Q91" s="188"/>
      <c r="R91" s="159"/>
      <c r="S91" s="159"/>
      <c r="T91" s="172"/>
    </row>
    <row r="92" spans="1:25" s="101" customFormat="1" ht="12.75">
      <c r="A92" s="156" t="s">
        <v>67</v>
      </c>
      <c r="B92" s="169"/>
      <c r="C92" s="170"/>
      <c r="D92" s="187"/>
      <c r="E92" s="188">
        <f>SUM($E$91:E91)</f>
        <v>8.3333333333333321</v>
      </c>
      <c r="F92" s="188">
        <f>SUM($E$91:F91)</f>
        <v>16.666666666666664</v>
      </c>
      <c r="G92" s="188">
        <f>SUM($E$91:G91)</f>
        <v>24.999999999999996</v>
      </c>
      <c r="H92" s="188">
        <f>SUM($E$91:H91)</f>
        <v>33.333333333333329</v>
      </c>
      <c r="I92" s="188">
        <f>SUM($E$91:I91)</f>
        <v>41.666666666666657</v>
      </c>
      <c r="J92" s="188">
        <f>SUM($E$91:J91)</f>
        <v>49.999999999999986</v>
      </c>
      <c r="K92" s="188">
        <f>SUM($E$91:K91)</f>
        <v>58.333333333333314</v>
      </c>
      <c r="L92" s="188">
        <f>SUM($E$91:L91)</f>
        <v>66.666666666666643</v>
      </c>
      <c r="M92" s="188">
        <f>SUM($E$91:M91)</f>
        <v>74.999999999999972</v>
      </c>
      <c r="N92" s="188">
        <f>SUM($E$91:N91)</f>
        <v>83.3333333333333</v>
      </c>
      <c r="O92" s="188">
        <f>SUM($E$91:O91)</f>
        <v>91.666666666666629</v>
      </c>
      <c r="P92" s="188">
        <f>SUM($E$91:P91)</f>
        <v>99.999999999999957</v>
      </c>
      <c r="Q92" s="188">
        <f>SUM($E$91:Q91)</f>
        <v>99.999999999999957</v>
      </c>
      <c r="R92" s="161"/>
      <c r="S92" s="161"/>
      <c r="T92" s="172"/>
    </row>
    <row r="93" spans="1:25" s="101" customFormat="1" ht="12.75">
      <c r="A93" s="156" t="s">
        <v>68</v>
      </c>
      <c r="B93" s="169"/>
      <c r="C93" s="170"/>
      <c r="D93" s="187"/>
      <c r="E93" s="188">
        <f>E91*$T$90/100</f>
        <v>8.8366229198365301E-2</v>
      </c>
      <c r="F93" s="188">
        <f t="shared" ref="F93:P93" si="31">F91*$T$90/100</f>
        <v>8.8366229198365301E-2</v>
      </c>
      <c r="G93" s="188">
        <f t="shared" si="31"/>
        <v>8.8366229198365301E-2</v>
      </c>
      <c r="H93" s="188">
        <f t="shared" si="31"/>
        <v>8.8366229198365301E-2</v>
      </c>
      <c r="I93" s="188">
        <f t="shared" si="31"/>
        <v>8.8366229198365301E-2</v>
      </c>
      <c r="J93" s="188">
        <f t="shared" si="31"/>
        <v>8.8366229198365301E-2</v>
      </c>
      <c r="K93" s="188">
        <f t="shared" si="31"/>
        <v>8.8366229198365301E-2</v>
      </c>
      <c r="L93" s="188">
        <f t="shared" si="31"/>
        <v>8.8366229198365301E-2</v>
      </c>
      <c r="M93" s="188">
        <f t="shared" si="31"/>
        <v>8.8366229198365301E-2</v>
      </c>
      <c r="N93" s="188">
        <f t="shared" si="31"/>
        <v>8.8366229198365301E-2</v>
      </c>
      <c r="O93" s="188">
        <f t="shared" si="31"/>
        <v>8.8366229198365301E-2</v>
      </c>
      <c r="P93" s="188">
        <f t="shared" si="31"/>
        <v>8.8366229198365301E-2</v>
      </c>
      <c r="Q93" s="188"/>
      <c r="R93" s="161"/>
      <c r="S93" s="161"/>
      <c r="T93" s="172"/>
      <c r="U93" s="162">
        <f>SUM(E93:P93)</f>
        <v>1.0603947503803839</v>
      </c>
    </row>
    <row r="94" spans="1:25" s="101" customFormat="1" ht="12.75">
      <c r="A94" s="180" t="s">
        <v>88</v>
      </c>
      <c r="B94" s="164">
        <v>1</v>
      </c>
      <c r="C94" s="181" t="s">
        <v>89</v>
      </c>
      <c r="D94" s="201" t="s">
        <v>35</v>
      </c>
      <c r="E94" s="205">
        <f>$B94/12</f>
        <v>8.3333333333333329E-2</v>
      </c>
      <c r="F94" s="205">
        <f t="shared" ref="F94:P94" si="32">$B94/12</f>
        <v>8.3333333333333329E-2</v>
      </c>
      <c r="G94" s="205">
        <f t="shared" si="32"/>
        <v>8.3333333333333329E-2</v>
      </c>
      <c r="H94" s="205">
        <f t="shared" si="32"/>
        <v>8.3333333333333329E-2</v>
      </c>
      <c r="I94" s="205">
        <f t="shared" si="32"/>
        <v>8.3333333333333329E-2</v>
      </c>
      <c r="J94" s="205">
        <f t="shared" si="32"/>
        <v>8.3333333333333329E-2</v>
      </c>
      <c r="K94" s="205">
        <f t="shared" si="32"/>
        <v>8.3333333333333329E-2</v>
      </c>
      <c r="L94" s="205">
        <f t="shared" si="32"/>
        <v>8.3333333333333329E-2</v>
      </c>
      <c r="M94" s="205">
        <f t="shared" si="32"/>
        <v>8.3333333333333329E-2</v>
      </c>
      <c r="N94" s="205">
        <f t="shared" si="32"/>
        <v>8.3333333333333329E-2</v>
      </c>
      <c r="O94" s="205">
        <f t="shared" si="32"/>
        <v>8.3333333333333329E-2</v>
      </c>
      <c r="P94" s="205">
        <f t="shared" si="32"/>
        <v>8.3333333333333329E-2</v>
      </c>
      <c r="Q94" s="184">
        <f>SUM(E94:P94)</f>
        <v>1</v>
      </c>
      <c r="R94" s="185">
        <v>65718851</v>
      </c>
      <c r="S94" s="186"/>
      <c r="T94" s="155">
        <f>R94/$R$13*100</f>
        <v>8.9343493078757241</v>
      </c>
      <c r="Y94" s="101" t="s">
        <v>60</v>
      </c>
    </row>
    <row r="95" spans="1:25" s="101" customFormat="1" ht="12.75">
      <c r="A95" s="156" t="s">
        <v>66</v>
      </c>
      <c r="B95" s="169"/>
      <c r="C95" s="170"/>
      <c r="D95" s="187"/>
      <c r="E95" s="188">
        <f>E94/$B$94*100</f>
        <v>8.3333333333333321</v>
      </c>
      <c r="F95" s="188">
        <f t="shared" ref="F95:P95" si="33">F94/$B$94*100</f>
        <v>8.3333333333333321</v>
      </c>
      <c r="G95" s="188">
        <f t="shared" si="33"/>
        <v>8.3333333333333321</v>
      </c>
      <c r="H95" s="188">
        <f t="shared" si="33"/>
        <v>8.3333333333333321</v>
      </c>
      <c r="I95" s="188">
        <f t="shared" si="33"/>
        <v>8.3333333333333321</v>
      </c>
      <c r="J95" s="188">
        <f t="shared" si="33"/>
        <v>8.3333333333333321</v>
      </c>
      <c r="K95" s="188">
        <f t="shared" si="33"/>
        <v>8.3333333333333321</v>
      </c>
      <c r="L95" s="188">
        <f t="shared" si="33"/>
        <v>8.3333333333333321</v>
      </c>
      <c r="M95" s="188">
        <f t="shared" si="33"/>
        <v>8.3333333333333321</v>
      </c>
      <c r="N95" s="188">
        <f t="shared" si="33"/>
        <v>8.3333333333333321</v>
      </c>
      <c r="O95" s="188">
        <f t="shared" si="33"/>
        <v>8.3333333333333321</v>
      </c>
      <c r="P95" s="188">
        <f t="shared" si="33"/>
        <v>8.3333333333333321</v>
      </c>
      <c r="Q95" s="188"/>
      <c r="R95" s="159"/>
      <c r="S95" s="159"/>
      <c r="T95" s="172"/>
    </row>
    <row r="96" spans="1:25" s="101" customFormat="1" ht="12.75">
      <c r="A96" s="156" t="s">
        <v>67</v>
      </c>
      <c r="B96" s="169"/>
      <c r="C96" s="170"/>
      <c r="D96" s="187"/>
      <c r="E96" s="206">
        <f>SUM($E$95:E95)</f>
        <v>8.3333333333333321</v>
      </c>
      <c r="F96" s="206">
        <f>SUM($E$95:F95)</f>
        <v>16.666666666666664</v>
      </c>
      <c r="G96" s="206">
        <f>SUM($E$95:G95)</f>
        <v>24.999999999999996</v>
      </c>
      <c r="H96" s="206">
        <f>SUM($E$95:H95)</f>
        <v>33.333333333333329</v>
      </c>
      <c r="I96" s="206">
        <f>SUM($E$95:I95)</f>
        <v>41.666666666666657</v>
      </c>
      <c r="J96" s="206">
        <f>SUM($E$95:J95)</f>
        <v>49.999999999999986</v>
      </c>
      <c r="K96" s="206">
        <f>SUM($E$95:K95)</f>
        <v>58.333333333333314</v>
      </c>
      <c r="L96" s="206">
        <f>SUM($E$95:L95)</f>
        <v>66.666666666666643</v>
      </c>
      <c r="M96" s="206">
        <f>SUM($E$95:M95)</f>
        <v>74.999999999999972</v>
      </c>
      <c r="N96" s="206">
        <f>SUM($E$95:N95)</f>
        <v>83.3333333333333</v>
      </c>
      <c r="O96" s="206">
        <f>SUM($E$95:O95)</f>
        <v>91.666666666666629</v>
      </c>
      <c r="P96" s="206">
        <f>SUM($E$95:P95)</f>
        <v>99.999999999999957</v>
      </c>
      <c r="Q96" s="188"/>
      <c r="R96" s="161"/>
      <c r="S96" s="161"/>
      <c r="T96" s="172"/>
    </row>
    <row r="97" spans="1:25" s="101" customFormat="1" ht="12.75">
      <c r="A97" s="156" t="s">
        <v>68</v>
      </c>
      <c r="B97" s="169"/>
      <c r="C97" s="170"/>
      <c r="D97" s="187"/>
      <c r="E97" s="188">
        <f>E95*$T$94/100</f>
        <v>0.74452910898964364</v>
      </c>
      <c r="F97" s="188">
        <f t="shared" ref="F97:P97" si="34">F95*$T$94/100</f>
        <v>0.74452910898964364</v>
      </c>
      <c r="G97" s="188">
        <f t="shared" si="34"/>
        <v>0.74452910898964364</v>
      </c>
      <c r="H97" s="188">
        <f t="shared" si="34"/>
        <v>0.74452910898964364</v>
      </c>
      <c r="I97" s="188">
        <f t="shared" si="34"/>
        <v>0.74452910898964364</v>
      </c>
      <c r="J97" s="188">
        <f t="shared" si="34"/>
        <v>0.74452910898964364</v>
      </c>
      <c r="K97" s="188">
        <f t="shared" si="34"/>
        <v>0.74452910898964364</v>
      </c>
      <c r="L97" s="188">
        <f t="shared" si="34"/>
        <v>0.74452910898964364</v>
      </c>
      <c r="M97" s="188">
        <f t="shared" si="34"/>
        <v>0.74452910898964364</v>
      </c>
      <c r="N97" s="188">
        <f t="shared" si="34"/>
        <v>0.74452910898964364</v>
      </c>
      <c r="O97" s="188">
        <f t="shared" si="34"/>
        <v>0.74452910898964364</v>
      </c>
      <c r="P97" s="188">
        <f t="shared" si="34"/>
        <v>0.74452910898964364</v>
      </c>
      <c r="Q97" s="188"/>
      <c r="R97" s="161"/>
      <c r="S97" s="161"/>
      <c r="T97" s="172"/>
      <c r="U97" s="162">
        <f>SUM(E97:P97)</f>
        <v>8.9343493078757259</v>
      </c>
    </row>
    <row r="98" spans="1:25" s="101" customFormat="1" ht="12.75">
      <c r="A98" s="180" t="s">
        <v>90</v>
      </c>
      <c r="B98" s="164">
        <v>1</v>
      </c>
      <c r="C98" s="181" t="s">
        <v>89</v>
      </c>
      <c r="D98" s="182" t="s">
        <v>91</v>
      </c>
      <c r="E98" s="183">
        <v>0</v>
      </c>
      <c r="F98" s="183">
        <v>0</v>
      </c>
      <c r="G98" s="183">
        <v>1</v>
      </c>
      <c r="H98" s="183">
        <v>0</v>
      </c>
      <c r="I98" s="183">
        <v>0</v>
      </c>
      <c r="J98" s="183">
        <v>0</v>
      </c>
      <c r="K98" s="183">
        <v>0</v>
      </c>
      <c r="L98" s="183">
        <v>0</v>
      </c>
      <c r="M98" s="183">
        <v>0</v>
      </c>
      <c r="N98" s="183">
        <v>0</v>
      </c>
      <c r="O98" s="183">
        <v>0</v>
      </c>
      <c r="P98" s="183">
        <v>0</v>
      </c>
      <c r="Q98" s="184">
        <f>SUM(E98:P98)</f>
        <v>1</v>
      </c>
      <c r="R98" s="185">
        <v>6958080</v>
      </c>
      <c r="S98" s="186"/>
      <c r="T98" s="155">
        <f>R98/$R$13*100</f>
        <v>0.94593737240086428</v>
      </c>
      <c r="Y98" s="101" t="s">
        <v>60</v>
      </c>
    </row>
    <row r="99" spans="1:25" s="101" customFormat="1" ht="12.75">
      <c r="A99" s="156" t="s">
        <v>66</v>
      </c>
      <c r="B99" s="169"/>
      <c r="C99" s="170"/>
      <c r="D99" s="187"/>
      <c r="E99" s="188">
        <f>E98/$B$98*100</f>
        <v>0</v>
      </c>
      <c r="F99" s="188">
        <f t="shared" ref="F99:P99" si="35">F98/$B$98*100</f>
        <v>0</v>
      </c>
      <c r="G99" s="188">
        <f t="shared" si="35"/>
        <v>100</v>
      </c>
      <c r="H99" s="188">
        <f t="shared" si="35"/>
        <v>0</v>
      </c>
      <c r="I99" s="188">
        <f t="shared" si="35"/>
        <v>0</v>
      </c>
      <c r="J99" s="188">
        <f t="shared" si="35"/>
        <v>0</v>
      </c>
      <c r="K99" s="188">
        <f t="shared" si="35"/>
        <v>0</v>
      </c>
      <c r="L99" s="188">
        <f t="shared" si="35"/>
        <v>0</v>
      </c>
      <c r="M99" s="188">
        <f t="shared" si="35"/>
        <v>0</v>
      </c>
      <c r="N99" s="188">
        <f t="shared" si="35"/>
        <v>0</v>
      </c>
      <c r="O99" s="188">
        <f t="shared" si="35"/>
        <v>0</v>
      </c>
      <c r="P99" s="188">
        <f t="shared" si="35"/>
        <v>0</v>
      </c>
      <c r="Q99" s="188"/>
      <c r="R99" s="159"/>
      <c r="S99" s="159"/>
      <c r="T99" s="172"/>
    </row>
    <row r="100" spans="1:25" s="101" customFormat="1" ht="12.75">
      <c r="A100" s="156" t="s">
        <v>67</v>
      </c>
      <c r="B100" s="169"/>
      <c r="C100" s="170"/>
      <c r="D100" s="187"/>
      <c r="E100" s="188">
        <f>SUM($E$99:E99)</f>
        <v>0</v>
      </c>
      <c r="F100" s="188">
        <f>SUM($E$99:F99)</f>
        <v>0</v>
      </c>
      <c r="G100" s="188">
        <f>SUM($E$99:G99)</f>
        <v>100</v>
      </c>
      <c r="H100" s="188">
        <f>SUM($E$99:H99)</f>
        <v>100</v>
      </c>
      <c r="I100" s="188">
        <f>SUM($E$99:I99)</f>
        <v>100</v>
      </c>
      <c r="J100" s="188">
        <f>SUM($E$99:J99)</f>
        <v>100</v>
      </c>
      <c r="K100" s="188">
        <f>SUM($E$99:K99)</f>
        <v>100</v>
      </c>
      <c r="L100" s="188">
        <f>SUM($E$99:L99)</f>
        <v>100</v>
      </c>
      <c r="M100" s="188">
        <f>SUM($E$99:M99)</f>
        <v>100</v>
      </c>
      <c r="N100" s="188">
        <f>SUM($E$99:N99)</f>
        <v>100</v>
      </c>
      <c r="O100" s="188">
        <f>SUM($E$99:O99)</f>
        <v>100</v>
      </c>
      <c r="P100" s="188">
        <f>SUM($E$99:P99)</f>
        <v>100</v>
      </c>
      <c r="Q100" s="188"/>
      <c r="R100" s="161"/>
      <c r="S100" s="161"/>
      <c r="T100" s="172"/>
    </row>
    <row r="101" spans="1:25" s="101" customFormat="1" ht="12.75">
      <c r="A101" s="156" t="s">
        <v>68</v>
      </c>
      <c r="B101" s="169"/>
      <c r="C101" s="170"/>
      <c r="D101" s="187"/>
      <c r="E101" s="188">
        <f>E99*$T$98/100</f>
        <v>0</v>
      </c>
      <c r="F101" s="188">
        <f t="shared" ref="F101:P101" si="36">F99*$T$98/100</f>
        <v>0</v>
      </c>
      <c r="G101" s="188">
        <f t="shared" si="36"/>
        <v>0.94593737240086428</v>
      </c>
      <c r="H101" s="188">
        <f t="shared" si="36"/>
        <v>0</v>
      </c>
      <c r="I101" s="188">
        <f t="shared" si="36"/>
        <v>0</v>
      </c>
      <c r="J101" s="188">
        <f t="shared" si="36"/>
        <v>0</v>
      </c>
      <c r="K101" s="188">
        <f t="shared" si="36"/>
        <v>0</v>
      </c>
      <c r="L101" s="188">
        <f t="shared" si="36"/>
        <v>0</v>
      </c>
      <c r="M101" s="188">
        <f t="shared" si="36"/>
        <v>0</v>
      </c>
      <c r="N101" s="188">
        <f t="shared" si="36"/>
        <v>0</v>
      </c>
      <c r="O101" s="188">
        <f t="shared" si="36"/>
        <v>0</v>
      </c>
      <c r="P101" s="188">
        <f t="shared" si="36"/>
        <v>0</v>
      </c>
      <c r="Q101" s="188"/>
      <c r="R101" s="161"/>
      <c r="S101" s="161"/>
      <c r="T101" s="172"/>
      <c r="U101" s="162">
        <f>SUM(E101:P101)</f>
        <v>0.94593737240086428</v>
      </c>
    </row>
    <row r="102" spans="1:25" s="101" customFormat="1" ht="12.75">
      <c r="A102" s="180" t="s">
        <v>92</v>
      </c>
      <c r="B102" s="164">
        <v>3</v>
      </c>
      <c r="C102" s="181" t="s">
        <v>55</v>
      </c>
      <c r="D102" s="182" t="s">
        <v>91</v>
      </c>
      <c r="E102" s="183">
        <v>0</v>
      </c>
      <c r="F102" s="183">
        <v>0</v>
      </c>
      <c r="G102" s="183">
        <v>0</v>
      </c>
      <c r="H102" s="183">
        <v>3</v>
      </c>
      <c r="I102" s="183">
        <v>0</v>
      </c>
      <c r="J102" s="183">
        <v>0</v>
      </c>
      <c r="K102" s="183">
        <v>0</v>
      </c>
      <c r="L102" s="183">
        <v>0</v>
      </c>
      <c r="M102" s="183">
        <v>0</v>
      </c>
      <c r="N102" s="183">
        <v>0</v>
      </c>
      <c r="O102" s="183">
        <v>0</v>
      </c>
      <c r="P102" s="183">
        <v>0</v>
      </c>
      <c r="Q102" s="184">
        <f>SUM(E102:P102)</f>
        <v>3</v>
      </c>
      <c r="R102" s="185">
        <v>64000000</v>
      </c>
      <c r="S102" s="186"/>
      <c r="T102" s="155">
        <f>R102/$R$13*100</f>
        <v>8.7006748749159719</v>
      </c>
      <c r="Y102" s="101" t="s">
        <v>60</v>
      </c>
    </row>
    <row r="103" spans="1:25" s="101" customFormat="1" ht="12.75">
      <c r="A103" s="156" t="s">
        <v>66</v>
      </c>
      <c r="B103" s="169"/>
      <c r="C103" s="170"/>
      <c r="D103" s="187"/>
      <c r="E103" s="188">
        <f>E102/$B$102*100</f>
        <v>0</v>
      </c>
      <c r="F103" s="188">
        <f t="shared" ref="F103:P103" si="37">F102/$B$102*100</f>
        <v>0</v>
      </c>
      <c r="G103" s="188">
        <f t="shared" si="37"/>
        <v>0</v>
      </c>
      <c r="H103" s="188">
        <f t="shared" si="37"/>
        <v>100</v>
      </c>
      <c r="I103" s="188">
        <f t="shared" si="37"/>
        <v>0</v>
      </c>
      <c r="J103" s="188">
        <f t="shared" si="37"/>
        <v>0</v>
      </c>
      <c r="K103" s="188">
        <f t="shared" si="37"/>
        <v>0</v>
      </c>
      <c r="L103" s="188">
        <f t="shared" si="37"/>
        <v>0</v>
      </c>
      <c r="M103" s="188">
        <f t="shared" si="37"/>
        <v>0</v>
      </c>
      <c r="N103" s="188">
        <f t="shared" si="37"/>
        <v>0</v>
      </c>
      <c r="O103" s="188">
        <f t="shared" si="37"/>
        <v>0</v>
      </c>
      <c r="P103" s="188">
        <f t="shared" si="37"/>
        <v>0</v>
      </c>
      <c r="Q103" s="188"/>
      <c r="R103" s="159"/>
      <c r="S103" s="159"/>
      <c r="T103" s="172"/>
    </row>
    <row r="104" spans="1:25" s="101" customFormat="1" ht="12.75">
      <c r="A104" s="156" t="s">
        <v>67</v>
      </c>
      <c r="B104" s="169"/>
      <c r="C104" s="170"/>
      <c r="D104" s="187"/>
      <c r="E104" s="188">
        <f>SUM($E$103:E103)</f>
        <v>0</v>
      </c>
      <c r="F104" s="188">
        <f>SUM($E$103:F103)</f>
        <v>0</v>
      </c>
      <c r="G104" s="188">
        <f>SUM($E$103:G103)</f>
        <v>0</v>
      </c>
      <c r="H104" s="188">
        <f>SUM($E$103:H103)</f>
        <v>100</v>
      </c>
      <c r="I104" s="188">
        <f>SUM($E$103:I103)</f>
        <v>100</v>
      </c>
      <c r="J104" s="188">
        <f>SUM($E$103:J103)</f>
        <v>100</v>
      </c>
      <c r="K104" s="188">
        <f>SUM($E$103:K103)</f>
        <v>100</v>
      </c>
      <c r="L104" s="188">
        <f>SUM($E$103:L103)</f>
        <v>100</v>
      </c>
      <c r="M104" s="188">
        <f>SUM($E$103:M103)</f>
        <v>100</v>
      </c>
      <c r="N104" s="188">
        <f>SUM($E$103:N103)</f>
        <v>100</v>
      </c>
      <c r="O104" s="188">
        <f>SUM($E$103:O103)</f>
        <v>100</v>
      </c>
      <c r="P104" s="188">
        <f>SUM($E$103:P103)</f>
        <v>100</v>
      </c>
      <c r="Q104" s="188"/>
      <c r="R104" s="161"/>
      <c r="S104" s="161"/>
      <c r="T104" s="172"/>
    </row>
    <row r="105" spans="1:25" s="101" customFormat="1" ht="12.75">
      <c r="A105" s="156" t="s">
        <v>68</v>
      </c>
      <c r="B105" s="169"/>
      <c r="C105" s="170"/>
      <c r="D105" s="187"/>
      <c r="E105" s="188">
        <f>E103*$T$102/100</f>
        <v>0</v>
      </c>
      <c r="F105" s="188">
        <f t="shared" ref="F105:P105" si="38">F103*$T$102/100</f>
        <v>0</v>
      </c>
      <c r="G105" s="188">
        <f t="shared" si="38"/>
        <v>0</v>
      </c>
      <c r="H105" s="188">
        <f t="shared" si="38"/>
        <v>8.7006748749159719</v>
      </c>
      <c r="I105" s="188">
        <f t="shared" si="38"/>
        <v>0</v>
      </c>
      <c r="J105" s="188">
        <f t="shared" si="38"/>
        <v>0</v>
      </c>
      <c r="K105" s="188">
        <f t="shared" si="38"/>
        <v>0</v>
      </c>
      <c r="L105" s="188">
        <f t="shared" si="38"/>
        <v>0</v>
      </c>
      <c r="M105" s="188">
        <f t="shared" si="38"/>
        <v>0</v>
      </c>
      <c r="N105" s="188">
        <f t="shared" si="38"/>
        <v>0</v>
      </c>
      <c r="O105" s="188">
        <f t="shared" si="38"/>
        <v>0</v>
      </c>
      <c r="P105" s="188">
        <f t="shared" si="38"/>
        <v>0</v>
      </c>
      <c r="Q105" s="188"/>
      <c r="R105" s="161"/>
      <c r="S105" s="161"/>
      <c r="T105" s="172"/>
      <c r="U105" s="162">
        <f>SUM(E105:P105)</f>
        <v>8.7006748749159719</v>
      </c>
    </row>
    <row r="106" spans="1:25" s="101" customFormat="1" ht="12.75">
      <c r="A106" s="180" t="s">
        <v>93</v>
      </c>
      <c r="B106" s="164">
        <v>2</v>
      </c>
      <c r="C106" s="181" t="s">
        <v>55</v>
      </c>
      <c r="D106" s="182" t="s">
        <v>91</v>
      </c>
      <c r="E106" s="183">
        <v>0</v>
      </c>
      <c r="F106" s="183">
        <v>0</v>
      </c>
      <c r="G106" s="183">
        <v>0</v>
      </c>
      <c r="H106" s="183">
        <v>1</v>
      </c>
      <c r="I106" s="183">
        <v>1</v>
      </c>
      <c r="J106" s="183">
        <v>0</v>
      </c>
      <c r="K106" s="183">
        <v>0</v>
      </c>
      <c r="L106" s="183">
        <v>0</v>
      </c>
      <c r="M106" s="183">
        <v>0</v>
      </c>
      <c r="N106" s="183">
        <v>0</v>
      </c>
      <c r="O106" s="183">
        <v>0</v>
      </c>
      <c r="P106" s="183">
        <v>0</v>
      </c>
      <c r="Q106" s="184">
        <f>SUM(E106:P106)</f>
        <v>2</v>
      </c>
      <c r="R106" s="185">
        <v>77607900</v>
      </c>
      <c r="S106" s="186"/>
      <c r="T106" s="155">
        <f>R106/$R$13*100</f>
        <v>10.550642275390487</v>
      </c>
      <c r="Y106" s="101" t="s">
        <v>60</v>
      </c>
    </row>
    <row r="107" spans="1:25" s="101" customFormat="1" ht="12.75">
      <c r="A107" s="156" t="s">
        <v>66</v>
      </c>
      <c r="B107" s="169"/>
      <c r="C107" s="170"/>
      <c r="D107" s="187"/>
      <c r="E107" s="188">
        <f>E106/$B$106*100</f>
        <v>0</v>
      </c>
      <c r="F107" s="188">
        <f t="shared" ref="F107:P107" si="39">F106/$B$106*100</f>
        <v>0</v>
      </c>
      <c r="G107" s="188">
        <f t="shared" si="39"/>
        <v>0</v>
      </c>
      <c r="H107" s="188">
        <f t="shared" si="39"/>
        <v>50</v>
      </c>
      <c r="I107" s="188">
        <f t="shared" si="39"/>
        <v>50</v>
      </c>
      <c r="J107" s="188">
        <f t="shared" si="39"/>
        <v>0</v>
      </c>
      <c r="K107" s="188">
        <f t="shared" si="39"/>
        <v>0</v>
      </c>
      <c r="L107" s="188">
        <f t="shared" si="39"/>
        <v>0</v>
      </c>
      <c r="M107" s="188">
        <f t="shared" si="39"/>
        <v>0</v>
      </c>
      <c r="N107" s="188">
        <f t="shared" si="39"/>
        <v>0</v>
      </c>
      <c r="O107" s="188">
        <f t="shared" si="39"/>
        <v>0</v>
      </c>
      <c r="P107" s="188">
        <f t="shared" si="39"/>
        <v>0</v>
      </c>
      <c r="Q107" s="188"/>
      <c r="R107" s="159"/>
      <c r="S107" s="159"/>
      <c r="T107" s="172"/>
    </row>
    <row r="108" spans="1:25" s="101" customFormat="1" ht="12.75">
      <c r="A108" s="156" t="s">
        <v>67</v>
      </c>
      <c r="B108" s="169"/>
      <c r="C108" s="170"/>
      <c r="D108" s="187"/>
      <c r="E108" s="188">
        <f>SUM($E$107:E107)</f>
        <v>0</v>
      </c>
      <c r="F108" s="188">
        <f>SUM($E$107:F107)</f>
        <v>0</v>
      </c>
      <c r="G108" s="188">
        <f>SUM($E$107:G107)</f>
        <v>0</v>
      </c>
      <c r="H108" s="188">
        <f>SUM($E$107:H107)</f>
        <v>50</v>
      </c>
      <c r="I108" s="188">
        <f>SUM($E$107:I107)</f>
        <v>100</v>
      </c>
      <c r="J108" s="188">
        <f>SUM($E$107:J107)</f>
        <v>100</v>
      </c>
      <c r="K108" s="188">
        <f>SUM($E$107:K107)</f>
        <v>100</v>
      </c>
      <c r="L108" s="188">
        <f>SUM($E$107:L107)</f>
        <v>100</v>
      </c>
      <c r="M108" s="188">
        <f>SUM($E$107:M107)</f>
        <v>100</v>
      </c>
      <c r="N108" s="188">
        <f>SUM($E$107:N107)</f>
        <v>100</v>
      </c>
      <c r="O108" s="188">
        <f>SUM($E$107:O107)</f>
        <v>100</v>
      </c>
      <c r="P108" s="188">
        <f>SUM($E$107:P107)</f>
        <v>100</v>
      </c>
      <c r="Q108" s="188"/>
      <c r="R108" s="161"/>
      <c r="S108" s="161"/>
      <c r="T108" s="172"/>
    </row>
    <row r="109" spans="1:25" s="101" customFormat="1" ht="12.75">
      <c r="A109" s="156" t="s">
        <v>68</v>
      </c>
      <c r="B109" s="169"/>
      <c r="C109" s="170"/>
      <c r="D109" s="187"/>
      <c r="E109" s="188">
        <f>E107*$T$106/100</f>
        <v>0</v>
      </c>
      <c r="F109" s="188">
        <f t="shared" ref="F109:P109" si="40">F107*$T$106/100</f>
        <v>0</v>
      </c>
      <c r="G109" s="188">
        <f t="shared" si="40"/>
        <v>0</v>
      </c>
      <c r="H109" s="188">
        <f t="shared" si="40"/>
        <v>5.2753211376952436</v>
      </c>
      <c r="I109" s="188">
        <f t="shared" si="40"/>
        <v>5.2753211376952436</v>
      </c>
      <c r="J109" s="188">
        <f t="shared" si="40"/>
        <v>0</v>
      </c>
      <c r="K109" s="188">
        <f t="shared" si="40"/>
        <v>0</v>
      </c>
      <c r="L109" s="188">
        <f t="shared" si="40"/>
        <v>0</v>
      </c>
      <c r="M109" s="188">
        <f t="shared" si="40"/>
        <v>0</v>
      </c>
      <c r="N109" s="188">
        <f t="shared" si="40"/>
        <v>0</v>
      </c>
      <c r="O109" s="188">
        <f t="shared" si="40"/>
        <v>0</v>
      </c>
      <c r="P109" s="188">
        <f t="shared" si="40"/>
        <v>0</v>
      </c>
      <c r="Q109" s="188"/>
      <c r="R109" s="161"/>
      <c r="S109" s="161"/>
      <c r="T109" s="172"/>
      <c r="U109" s="162">
        <f>SUM(E109:P109)</f>
        <v>10.550642275390487</v>
      </c>
    </row>
    <row r="110" spans="1:25" s="101" customFormat="1" ht="12.75">
      <c r="A110" s="180" t="s">
        <v>94</v>
      </c>
      <c r="B110" s="164">
        <v>2</v>
      </c>
      <c r="C110" s="181" t="s">
        <v>55</v>
      </c>
      <c r="D110" s="182" t="s">
        <v>91</v>
      </c>
      <c r="E110" s="183">
        <v>0</v>
      </c>
      <c r="F110" s="183">
        <v>0</v>
      </c>
      <c r="G110" s="183">
        <v>0</v>
      </c>
      <c r="H110" s="183">
        <v>0</v>
      </c>
      <c r="I110" s="183">
        <v>2</v>
      </c>
      <c r="J110" s="183">
        <v>0</v>
      </c>
      <c r="K110" s="183">
        <v>0</v>
      </c>
      <c r="L110" s="183">
        <v>0</v>
      </c>
      <c r="M110" s="183">
        <v>0</v>
      </c>
      <c r="N110" s="183">
        <v>0</v>
      </c>
      <c r="O110" s="183">
        <v>0</v>
      </c>
      <c r="P110" s="183">
        <v>0</v>
      </c>
      <c r="Q110" s="184">
        <f>SUM(E110:P110)</f>
        <v>2</v>
      </c>
      <c r="R110" s="185">
        <v>12500000</v>
      </c>
      <c r="S110" s="186"/>
      <c r="T110" s="155">
        <f>R110/$R$13*100</f>
        <v>1.6993505615070257</v>
      </c>
      <c r="Y110" s="101" t="s">
        <v>60</v>
      </c>
    </row>
    <row r="111" spans="1:25" s="101" customFormat="1" ht="12.75">
      <c r="A111" s="156" t="s">
        <v>66</v>
      </c>
      <c r="B111" s="169"/>
      <c r="C111" s="170"/>
      <c r="D111" s="187"/>
      <c r="E111" s="188">
        <f>E110/$B$110*100</f>
        <v>0</v>
      </c>
      <c r="F111" s="188">
        <f t="shared" ref="F111:P111" si="41">F110/$B$110*100</f>
        <v>0</v>
      </c>
      <c r="G111" s="188">
        <f t="shared" si="41"/>
        <v>0</v>
      </c>
      <c r="H111" s="188">
        <f t="shared" si="41"/>
        <v>0</v>
      </c>
      <c r="I111" s="188">
        <f t="shared" si="41"/>
        <v>100</v>
      </c>
      <c r="J111" s="188">
        <f t="shared" si="41"/>
        <v>0</v>
      </c>
      <c r="K111" s="188">
        <f t="shared" si="41"/>
        <v>0</v>
      </c>
      <c r="L111" s="188">
        <f t="shared" si="41"/>
        <v>0</v>
      </c>
      <c r="M111" s="188">
        <f t="shared" si="41"/>
        <v>0</v>
      </c>
      <c r="N111" s="188">
        <f t="shared" si="41"/>
        <v>0</v>
      </c>
      <c r="O111" s="188">
        <f t="shared" si="41"/>
        <v>0</v>
      </c>
      <c r="P111" s="188">
        <f t="shared" si="41"/>
        <v>0</v>
      </c>
      <c r="Q111" s="188"/>
      <c r="R111" s="159"/>
      <c r="S111" s="159"/>
      <c r="T111" s="172"/>
    </row>
    <row r="112" spans="1:25" s="101" customFormat="1" ht="12.75">
      <c r="A112" s="156" t="s">
        <v>67</v>
      </c>
      <c r="B112" s="169"/>
      <c r="C112" s="170"/>
      <c r="D112" s="187"/>
      <c r="E112" s="188">
        <f>SUM($E$111:E111)</f>
        <v>0</v>
      </c>
      <c r="F112" s="188">
        <f>SUM($E$111:F111)</f>
        <v>0</v>
      </c>
      <c r="G112" s="188">
        <f>SUM($E$111:G111)</f>
        <v>0</v>
      </c>
      <c r="H112" s="188">
        <f>SUM($E$111:H111)</f>
        <v>0</v>
      </c>
      <c r="I112" s="188">
        <f>SUM($E$111:I111)</f>
        <v>100</v>
      </c>
      <c r="J112" s="188">
        <f>SUM($E$111:J111)</f>
        <v>100</v>
      </c>
      <c r="K112" s="188">
        <f>SUM($E$111:K111)</f>
        <v>100</v>
      </c>
      <c r="L112" s="188">
        <f>SUM($E$111:L111)</f>
        <v>100</v>
      </c>
      <c r="M112" s="188">
        <f>SUM($E$111:M111)</f>
        <v>100</v>
      </c>
      <c r="N112" s="188">
        <f>SUM($E$111:N111)</f>
        <v>100</v>
      </c>
      <c r="O112" s="188">
        <f>SUM($E$111:O111)</f>
        <v>100</v>
      </c>
      <c r="P112" s="188">
        <f>SUM($E$111:P111)</f>
        <v>100</v>
      </c>
      <c r="Q112" s="188"/>
      <c r="R112" s="161"/>
      <c r="S112" s="161"/>
      <c r="T112" s="172"/>
    </row>
    <row r="113" spans="1:25" s="101" customFormat="1" ht="12.75">
      <c r="A113" s="156" t="s">
        <v>68</v>
      </c>
      <c r="B113" s="169"/>
      <c r="C113" s="170"/>
      <c r="D113" s="187"/>
      <c r="E113" s="188">
        <f>E111*$T$110/100</f>
        <v>0</v>
      </c>
      <c r="F113" s="188">
        <f t="shared" ref="F113:P113" si="42">F111*$T$110/100</f>
        <v>0</v>
      </c>
      <c r="G113" s="188">
        <f t="shared" si="42"/>
        <v>0</v>
      </c>
      <c r="H113" s="188">
        <f t="shared" si="42"/>
        <v>0</v>
      </c>
      <c r="I113" s="188">
        <f t="shared" si="42"/>
        <v>1.6993505615070257</v>
      </c>
      <c r="J113" s="188">
        <f t="shared" si="42"/>
        <v>0</v>
      </c>
      <c r="K113" s="188">
        <f t="shared" si="42"/>
        <v>0</v>
      </c>
      <c r="L113" s="188">
        <f t="shared" si="42"/>
        <v>0</v>
      </c>
      <c r="M113" s="188">
        <f t="shared" si="42"/>
        <v>0</v>
      </c>
      <c r="N113" s="188">
        <f t="shared" si="42"/>
        <v>0</v>
      </c>
      <c r="O113" s="188">
        <f t="shared" si="42"/>
        <v>0</v>
      </c>
      <c r="P113" s="188">
        <f t="shared" si="42"/>
        <v>0</v>
      </c>
      <c r="Q113" s="188"/>
      <c r="R113" s="161"/>
      <c r="S113" s="161"/>
      <c r="T113" s="172"/>
      <c r="U113" s="162">
        <f>SUM(E113:P113)</f>
        <v>1.6993505615070257</v>
      </c>
    </row>
    <row r="114" spans="1:25" s="101" customFormat="1" ht="12.75">
      <c r="A114" s="180" t="s">
        <v>95</v>
      </c>
      <c r="B114" s="164">
        <v>1</v>
      </c>
      <c r="C114" s="181" t="s">
        <v>55</v>
      </c>
      <c r="D114" s="182" t="s">
        <v>91</v>
      </c>
      <c r="E114" s="183">
        <v>0</v>
      </c>
      <c r="F114" s="183">
        <v>0</v>
      </c>
      <c r="G114" s="183">
        <v>0</v>
      </c>
      <c r="H114" s="183">
        <v>1</v>
      </c>
      <c r="I114" s="183">
        <v>0</v>
      </c>
      <c r="J114" s="183">
        <v>0</v>
      </c>
      <c r="K114" s="183">
        <v>0</v>
      </c>
      <c r="L114" s="183">
        <v>0</v>
      </c>
      <c r="M114" s="183">
        <v>0</v>
      </c>
      <c r="N114" s="183">
        <v>0</v>
      </c>
      <c r="O114" s="183">
        <v>0</v>
      </c>
      <c r="P114" s="183">
        <v>0</v>
      </c>
      <c r="Q114" s="184">
        <f>SUM(E114:P114)</f>
        <v>1</v>
      </c>
      <c r="R114" s="185">
        <v>7397500</v>
      </c>
      <c r="S114" s="186"/>
      <c r="T114" s="155">
        <f>R114/$R$13*100</f>
        <v>1.0056756622998577</v>
      </c>
      <c r="Y114" s="101" t="s">
        <v>60</v>
      </c>
    </row>
    <row r="115" spans="1:25" s="101" customFormat="1" ht="12.75">
      <c r="A115" s="156" t="s">
        <v>66</v>
      </c>
      <c r="B115" s="169"/>
      <c r="C115" s="170"/>
      <c r="D115" s="187"/>
      <c r="E115" s="188">
        <f>E114/$B$114*100</f>
        <v>0</v>
      </c>
      <c r="F115" s="188">
        <f t="shared" ref="F115:P115" si="43">F114/$B$114*100</f>
        <v>0</v>
      </c>
      <c r="G115" s="188">
        <f t="shared" si="43"/>
        <v>0</v>
      </c>
      <c r="H115" s="188">
        <f t="shared" si="43"/>
        <v>100</v>
      </c>
      <c r="I115" s="188">
        <f t="shared" si="43"/>
        <v>0</v>
      </c>
      <c r="J115" s="188">
        <f t="shared" si="43"/>
        <v>0</v>
      </c>
      <c r="K115" s="188">
        <f t="shared" si="43"/>
        <v>0</v>
      </c>
      <c r="L115" s="188">
        <f t="shared" si="43"/>
        <v>0</v>
      </c>
      <c r="M115" s="188">
        <f t="shared" si="43"/>
        <v>0</v>
      </c>
      <c r="N115" s="188">
        <f t="shared" si="43"/>
        <v>0</v>
      </c>
      <c r="O115" s="188">
        <f t="shared" si="43"/>
        <v>0</v>
      </c>
      <c r="P115" s="188">
        <f t="shared" si="43"/>
        <v>0</v>
      </c>
      <c r="Q115" s="188"/>
      <c r="R115" s="159"/>
      <c r="S115" s="159"/>
      <c r="T115" s="172"/>
    </row>
    <row r="116" spans="1:25" s="101" customFormat="1" ht="12.75">
      <c r="A116" s="156" t="s">
        <v>67</v>
      </c>
      <c r="B116" s="169"/>
      <c r="C116" s="170"/>
      <c r="D116" s="187"/>
      <c r="E116" s="188">
        <f>SUM($E$115:E115)</f>
        <v>0</v>
      </c>
      <c r="F116" s="188">
        <f>SUM($E$115:F115)</f>
        <v>0</v>
      </c>
      <c r="G116" s="188">
        <f>SUM($E$115:G115)</f>
        <v>0</v>
      </c>
      <c r="H116" s="188">
        <f>SUM($E$115:H115)</f>
        <v>100</v>
      </c>
      <c r="I116" s="188">
        <f>SUM($E$115:I115)</f>
        <v>100</v>
      </c>
      <c r="J116" s="188">
        <f>SUM($E$115:J115)</f>
        <v>100</v>
      </c>
      <c r="K116" s="188">
        <f>SUM($E$115:K115)</f>
        <v>100</v>
      </c>
      <c r="L116" s="188">
        <f>SUM($E$115:L115)</f>
        <v>100</v>
      </c>
      <c r="M116" s="188">
        <f>SUM($E$115:M115)</f>
        <v>100</v>
      </c>
      <c r="N116" s="188">
        <f>SUM($E$115:N115)</f>
        <v>100</v>
      </c>
      <c r="O116" s="188">
        <f>SUM($E$115:O115)</f>
        <v>100</v>
      </c>
      <c r="P116" s="188">
        <f>SUM($E$115:P115)</f>
        <v>100</v>
      </c>
      <c r="Q116" s="188"/>
      <c r="R116" s="161"/>
      <c r="S116" s="161"/>
      <c r="T116" s="172"/>
    </row>
    <row r="117" spans="1:25" s="101" customFormat="1" ht="12.75">
      <c r="A117" s="156" t="s">
        <v>68</v>
      </c>
      <c r="B117" s="169"/>
      <c r="C117" s="170"/>
      <c r="D117" s="187"/>
      <c r="E117" s="188">
        <f>E115*$T$114/100</f>
        <v>0</v>
      </c>
      <c r="F117" s="188">
        <f t="shared" ref="F117:P117" si="44">F115*$T$114/100</f>
        <v>0</v>
      </c>
      <c r="G117" s="188">
        <f t="shared" si="44"/>
        <v>0</v>
      </c>
      <c r="H117" s="188">
        <f t="shared" si="44"/>
        <v>1.0056756622998577</v>
      </c>
      <c r="I117" s="188">
        <f t="shared" si="44"/>
        <v>0</v>
      </c>
      <c r="J117" s="188">
        <f t="shared" si="44"/>
        <v>0</v>
      </c>
      <c r="K117" s="188">
        <f t="shared" si="44"/>
        <v>0</v>
      </c>
      <c r="L117" s="188">
        <f t="shared" si="44"/>
        <v>0</v>
      </c>
      <c r="M117" s="188">
        <f t="shared" si="44"/>
        <v>0</v>
      </c>
      <c r="N117" s="188">
        <f t="shared" si="44"/>
        <v>0</v>
      </c>
      <c r="O117" s="188">
        <f t="shared" si="44"/>
        <v>0</v>
      </c>
      <c r="P117" s="188">
        <f t="shared" si="44"/>
        <v>0</v>
      </c>
      <c r="Q117" s="188"/>
      <c r="R117" s="161"/>
      <c r="S117" s="161"/>
      <c r="T117" s="172"/>
      <c r="U117" s="162">
        <f>SUM(E117:P117)</f>
        <v>1.0056756622998577</v>
      </c>
    </row>
    <row r="118" spans="1:25" s="101" customFormat="1" ht="12.75">
      <c r="A118" s="207"/>
      <c r="B118" s="169"/>
      <c r="C118" s="170"/>
      <c r="D118" s="187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61"/>
      <c r="S118" s="161"/>
      <c r="T118" s="172"/>
      <c r="U118" s="162"/>
    </row>
    <row r="119" spans="1:25" s="101" customFormat="1" ht="22.5">
      <c r="A119" s="180" t="s">
        <v>96</v>
      </c>
      <c r="B119" s="164">
        <v>12</v>
      </c>
      <c r="C119" s="181" t="s">
        <v>76</v>
      </c>
      <c r="D119" s="182" t="s">
        <v>35</v>
      </c>
      <c r="E119" s="183">
        <v>1</v>
      </c>
      <c r="F119" s="183">
        <v>1</v>
      </c>
      <c r="G119" s="183">
        <v>1</v>
      </c>
      <c r="H119" s="183">
        <v>1</v>
      </c>
      <c r="I119" s="183">
        <v>1</v>
      </c>
      <c r="J119" s="183">
        <v>1</v>
      </c>
      <c r="K119" s="183">
        <v>1</v>
      </c>
      <c r="L119" s="183">
        <v>1</v>
      </c>
      <c r="M119" s="183">
        <v>1</v>
      </c>
      <c r="N119" s="183">
        <v>1</v>
      </c>
      <c r="O119" s="183">
        <v>1</v>
      </c>
      <c r="P119" s="183">
        <v>1</v>
      </c>
      <c r="Q119" s="184">
        <f>SUM(E119:P119)</f>
        <v>12</v>
      </c>
      <c r="R119" s="185">
        <v>12600000</v>
      </c>
      <c r="S119" s="186"/>
      <c r="T119" s="155">
        <f>R119/$R$13*100</f>
        <v>1.7129453659990819</v>
      </c>
      <c r="Y119" s="101" t="s">
        <v>60</v>
      </c>
    </row>
    <row r="120" spans="1:25" s="101" customFormat="1" ht="12.75">
      <c r="A120" s="156" t="s">
        <v>66</v>
      </c>
      <c r="B120" s="169"/>
      <c r="C120" s="170"/>
      <c r="D120" s="187"/>
      <c r="E120" s="188">
        <f>E119/$B$119*100</f>
        <v>8.3333333333333321</v>
      </c>
      <c r="F120" s="188">
        <f t="shared" ref="F120:P120" si="45">F119/$B$119*100</f>
        <v>8.3333333333333321</v>
      </c>
      <c r="G120" s="188">
        <f t="shared" si="45"/>
        <v>8.3333333333333321</v>
      </c>
      <c r="H120" s="188">
        <f t="shared" si="45"/>
        <v>8.3333333333333321</v>
      </c>
      <c r="I120" s="188">
        <f t="shared" si="45"/>
        <v>8.3333333333333321</v>
      </c>
      <c r="J120" s="188">
        <f t="shared" si="45"/>
        <v>8.3333333333333321</v>
      </c>
      <c r="K120" s="188">
        <f t="shared" si="45"/>
        <v>8.3333333333333321</v>
      </c>
      <c r="L120" s="188">
        <f t="shared" si="45"/>
        <v>8.3333333333333321</v>
      </c>
      <c r="M120" s="188">
        <f t="shared" si="45"/>
        <v>8.3333333333333321</v>
      </c>
      <c r="N120" s="188">
        <f t="shared" si="45"/>
        <v>8.3333333333333321</v>
      </c>
      <c r="O120" s="188">
        <f t="shared" si="45"/>
        <v>8.3333333333333321</v>
      </c>
      <c r="P120" s="188">
        <f t="shared" si="45"/>
        <v>8.3333333333333321</v>
      </c>
      <c r="Q120" s="188"/>
      <c r="R120" s="159"/>
      <c r="S120" s="159"/>
      <c r="T120" s="172"/>
    </row>
    <row r="121" spans="1:25" s="101" customFormat="1" ht="12.75">
      <c r="A121" s="156" t="s">
        <v>67</v>
      </c>
      <c r="B121" s="169"/>
      <c r="C121" s="170"/>
      <c r="D121" s="187"/>
      <c r="E121" s="188">
        <f>SUM($E$120:E120)</f>
        <v>8.3333333333333321</v>
      </c>
      <c r="F121" s="188">
        <f>SUM($E$120:F120)</f>
        <v>16.666666666666664</v>
      </c>
      <c r="G121" s="188">
        <f>SUM($E$120:G120)</f>
        <v>24.999999999999996</v>
      </c>
      <c r="H121" s="188">
        <f>SUM($E$120:H120)</f>
        <v>33.333333333333329</v>
      </c>
      <c r="I121" s="188">
        <f>SUM($E$120:I120)</f>
        <v>41.666666666666657</v>
      </c>
      <c r="J121" s="188">
        <f>SUM($E$120:J120)</f>
        <v>49.999999999999986</v>
      </c>
      <c r="K121" s="188">
        <f>SUM($E$120:K120)</f>
        <v>58.333333333333314</v>
      </c>
      <c r="L121" s="188">
        <f>SUM($E$120:L120)</f>
        <v>66.666666666666643</v>
      </c>
      <c r="M121" s="188">
        <f>SUM($E$120:M120)</f>
        <v>74.999999999999972</v>
      </c>
      <c r="N121" s="188">
        <f>SUM($E$120:N120)</f>
        <v>83.3333333333333</v>
      </c>
      <c r="O121" s="188">
        <f>SUM($E$120:O120)</f>
        <v>91.666666666666629</v>
      </c>
      <c r="P121" s="188">
        <f>SUM($E$120:P120)</f>
        <v>99.999999999999957</v>
      </c>
      <c r="Q121" s="188"/>
      <c r="R121" s="161"/>
      <c r="S121" s="161"/>
      <c r="T121" s="172"/>
    </row>
    <row r="122" spans="1:25" s="101" customFormat="1" ht="12.75">
      <c r="A122" s="156" t="s">
        <v>68</v>
      </c>
      <c r="B122" s="169"/>
      <c r="C122" s="170"/>
      <c r="D122" s="187"/>
      <c r="E122" s="200">
        <f>E120*$T$119/100</f>
        <v>0.14274544716659013</v>
      </c>
      <c r="F122" s="200">
        <f t="shared" ref="F122:P122" si="46">F120*$T$119/100</f>
        <v>0.14274544716659013</v>
      </c>
      <c r="G122" s="200">
        <f t="shared" si="46"/>
        <v>0.14274544716659013</v>
      </c>
      <c r="H122" s="200">
        <f t="shared" si="46"/>
        <v>0.14274544716659013</v>
      </c>
      <c r="I122" s="200">
        <f t="shared" si="46"/>
        <v>0.14274544716659013</v>
      </c>
      <c r="J122" s="200">
        <f t="shared" si="46"/>
        <v>0.14274544716659013</v>
      </c>
      <c r="K122" s="200">
        <f t="shared" si="46"/>
        <v>0.14274544716659013</v>
      </c>
      <c r="L122" s="200">
        <f t="shared" si="46"/>
        <v>0.14274544716659013</v>
      </c>
      <c r="M122" s="200">
        <f t="shared" si="46"/>
        <v>0.14274544716659013</v>
      </c>
      <c r="N122" s="200">
        <f t="shared" si="46"/>
        <v>0.14274544716659013</v>
      </c>
      <c r="O122" s="200">
        <f t="shared" si="46"/>
        <v>0.14274544716659013</v>
      </c>
      <c r="P122" s="200">
        <f t="shared" si="46"/>
        <v>0.14274544716659013</v>
      </c>
      <c r="Q122" s="188"/>
      <c r="R122" s="161"/>
      <c r="S122" s="161"/>
      <c r="T122" s="172"/>
      <c r="U122" s="162">
        <f>SUM(E122:P122)</f>
        <v>1.7129453659990814</v>
      </c>
    </row>
    <row r="123" spans="1:25" s="101" customFormat="1" ht="12.75">
      <c r="A123" s="180" t="s">
        <v>97</v>
      </c>
      <c r="B123" s="164">
        <v>12</v>
      </c>
      <c r="C123" s="181" t="s">
        <v>76</v>
      </c>
      <c r="D123" s="182" t="s">
        <v>35</v>
      </c>
      <c r="E123" s="183">
        <v>1</v>
      </c>
      <c r="F123" s="183">
        <v>1</v>
      </c>
      <c r="G123" s="183">
        <v>1</v>
      </c>
      <c r="H123" s="183">
        <v>1</v>
      </c>
      <c r="I123" s="183">
        <v>1</v>
      </c>
      <c r="J123" s="183">
        <v>1</v>
      </c>
      <c r="K123" s="183">
        <v>1</v>
      </c>
      <c r="L123" s="183">
        <v>1</v>
      </c>
      <c r="M123" s="183">
        <v>1</v>
      </c>
      <c r="N123" s="183">
        <v>1</v>
      </c>
      <c r="O123" s="183">
        <v>1</v>
      </c>
      <c r="P123" s="183">
        <v>1</v>
      </c>
      <c r="Q123" s="184">
        <f>SUM(E123:P123)</f>
        <v>12</v>
      </c>
      <c r="R123" s="185">
        <v>13800000</v>
      </c>
      <c r="S123" s="186"/>
      <c r="T123" s="155">
        <f>R123/$R$13*100</f>
        <v>1.8760830199037564</v>
      </c>
      <c r="Y123" s="101" t="s">
        <v>60</v>
      </c>
    </row>
    <row r="124" spans="1:25" s="101" customFormat="1" ht="12.75">
      <c r="A124" s="156" t="s">
        <v>66</v>
      </c>
      <c r="B124" s="169"/>
      <c r="C124" s="170"/>
      <c r="D124" s="187"/>
      <c r="E124" s="188">
        <f>E123/$B$123*100</f>
        <v>8.3333333333333321</v>
      </c>
      <c r="F124" s="188">
        <f t="shared" ref="F124:P124" si="47">F123/$B$123*100</f>
        <v>8.3333333333333321</v>
      </c>
      <c r="G124" s="188">
        <f t="shared" si="47"/>
        <v>8.3333333333333321</v>
      </c>
      <c r="H124" s="188">
        <f t="shared" si="47"/>
        <v>8.3333333333333321</v>
      </c>
      <c r="I124" s="188">
        <f t="shared" si="47"/>
        <v>8.3333333333333321</v>
      </c>
      <c r="J124" s="188">
        <f t="shared" si="47"/>
        <v>8.3333333333333321</v>
      </c>
      <c r="K124" s="188">
        <f t="shared" si="47"/>
        <v>8.3333333333333321</v>
      </c>
      <c r="L124" s="188">
        <f t="shared" si="47"/>
        <v>8.3333333333333321</v>
      </c>
      <c r="M124" s="188">
        <f t="shared" si="47"/>
        <v>8.3333333333333321</v>
      </c>
      <c r="N124" s="188">
        <f t="shared" si="47"/>
        <v>8.3333333333333321</v>
      </c>
      <c r="O124" s="188">
        <f t="shared" si="47"/>
        <v>8.3333333333333321</v>
      </c>
      <c r="P124" s="188">
        <f t="shared" si="47"/>
        <v>8.3333333333333321</v>
      </c>
      <c r="Q124" s="188"/>
      <c r="R124" s="159"/>
      <c r="S124" s="159"/>
      <c r="T124" s="172"/>
    </row>
    <row r="125" spans="1:25" s="101" customFormat="1" ht="12.75">
      <c r="A125" s="156" t="s">
        <v>67</v>
      </c>
      <c r="B125" s="169"/>
      <c r="C125" s="170"/>
      <c r="D125" s="187"/>
      <c r="E125" s="188">
        <f>SUM($E$124:E124)</f>
        <v>8.3333333333333321</v>
      </c>
      <c r="F125" s="188">
        <f>SUM($E$124:F124)</f>
        <v>16.666666666666664</v>
      </c>
      <c r="G125" s="188">
        <f>SUM($E$124:G124)</f>
        <v>24.999999999999996</v>
      </c>
      <c r="H125" s="188">
        <f>SUM($E$124:H124)</f>
        <v>33.333333333333329</v>
      </c>
      <c r="I125" s="188">
        <f>SUM($E$124:I124)</f>
        <v>41.666666666666657</v>
      </c>
      <c r="J125" s="188">
        <f>SUM($E$124:J124)</f>
        <v>49.999999999999986</v>
      </c>
      <c r="K125" s="188">
        <f>SUM($E$124:K124)</f>
        <v>58.333333333333314</v>
      </c>
      <c r="L125" s="188">
        <f>SUM($E$124:L124)</f>
        <v>66.666666666666643</v>
      </c>
      <c r="M125" s="188">
        <f>SUM($E$124:M124)</f>
        <v>74.999999999999972</v>
      </c>
      <c r="N125" s="188">
        <f>SUM($E$124:N124)</f>
        <v>83.3333333333333</v>
      </c>
      <c r="O125" s="188">
        <f>SUM($E$124:O124)</f>
        <v>91.666666666666629</v>
      </c>
      <c r="P125" s="188">
        <f>SUM($E$124:P124)</f>
        <v>99.999999999999957</v>
      </c>
      <c r="Q125" s="188"/>
      <c r="R125" s="161"/>
      <c r="S125" s="161"/>
      <c r="T125" s="172"/>
    </row>
    <row r="126" spans="1:25" s="101" customFormat="1" ht="12.75">
      <c r="A126" s="156" t="s">
        <v>68</v>
      </c>
      <c r="B126" s="169"/>
      <c r="C126" s="170"/>
      <c r="D126" s="187"/>
      <c r="E126" s="200">
        <f>E124*$T$123/100</f>
        <v>0.15634025165864635</v>
      </c>
      <c r="F126" s="200">
        <f t="shared" ref="F126:P126" si="48">F124*$T$123/100</f>
        <v>0.15634025165864635</v>
      </c>
      <c r="G126" s="200">
        <f t="shared" si="48"/>
        <v>0.15634025165864635</v>
      </c>
      <c r="H126" s="200">
        <f t="shared" si="48"/>
        <v>0.15634025165864635</v>
      </c>
      <c r="I126" s="200">
        <f t="shared" si="48"/>
        <v>0.15634025165864635</v>
      </c>
      <c r="J126" s="200">
        <f t="shared" si="48"/>
        <v>0.15634025165864635</v>
      </c>
      <c r="K126" s="200">
        <f t="shared" si="48"/>
        <v>0.15634025165864635</v>
      </c>
      <c r="L126" s="200">
        <f t="shared" si="48"/>
        <v>0.15634025165864635</v>
      </c>
      <c r="M126" s="200">
        <f t="shared" si="48"/>
        <v>0.15634025165864635</v>
      </c>
      <c r="N126" s="200">
        <f t="shared" si="48"/>
        <v>0.15634025165864635</v>
      </c>
      <c r="O126" s="200">
        <f t="shared" si="48"/>
        <v>0.15634025165864635</v>
      </c>
      <c r="P126" s="200">
        <f t="shared" si="48"/>
        <v>0.15634025165864635</v>
      </c>
      <c r="Q126" s="188"/>
      <c r="R126" s="161"/>
      <c r="S126" s="161"/>
      <c r="T126" s="172"/>
      <c r="U126" s="162">
        <f>SUM(E126:P126)</f>
        <v>1.8760830199037557</v>
      </c>
    </row>
    <row r="127" spans="1:25" s="101" customFormat="1" ht="8.25" customHeight="1">
      <c r="A127" s="208"/>
      <c r="B127" s="209"/>
      <c r="C127" s="210"/>
      <c r="D127" s="198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178"/>
      <c r="S127" s="178"/>
      <c r="T127" s="179">
        <f>R127/R13*100</f>
        <v>0</v>
      </c>
    </row>
    <row r="128" spans="1:25" s="101" customFormat="1" ht="13.5" thickBot="1">
      <c r="A128" s="212" t="s">
        <v>41</v>
      </c>
      <c r="B128" s="213"/>
      <c r="C128" s="214"/>
      <c r="D128" s="215"/>
      <c r="E128" s="216">
        <f>E126+E122+E117+E113+E109+E105+E101+E97+E93+E89+E85+E80+E75+E70+E63+E58+E52+E42+E37+E32+E27+E22+E17</f>
        <v>4.9232030972814691</v>
      </c>
      <c r="F128" s="216">
        <f t="shared" ref="F128:P128" si="49">F126+F122+F117+F113+F109+F105+F101+F97+F93+F89+F85+F80+F75+F70+F63+F58+F52+F42+F37+F32+F27+F22+F17</f>
        <v>8.3367579117337964</v>
      </c>
      <c r="G128" s="216">
        <f t="shared" si="49"/>
        <v>10.102355272538297</v>
      </c>
      <c r="H128" s="216">
        <f t="shared" si="49"/>
        <v>20.630751120855564</v>
      </c>
      <c r="I128" s="216">
        <f t="shared" si="49"/>
        <v>12.809784198854297</v>
      </c>
      <c r="J128" s="216">
        <f t="shared" si="49"/>
        <v>7.4961002881278498</v>
      </c>
      <c r="K128" s="216">
        <f t="shared" si="49"/>
        <v>5.5891793289307472</v>
      </c>
      <c r="L128" s="216">
        <f t="shared" si="49"/>
        <v>5.8880465763079428</v>
      </c>
      <c r="M128" s="216">
        <f t="shared" si="49"/>
        <v>6.4035743772693676</v>
      </c>
      <c r="N128" s="216">
        <f t="shared" si="49"/>
        <v>6.7823183470148738</v>
      </c>
      <c r="O128" s="216">
        <f t="shared" si="49"/>
        <v>5.9585280067022106</v>
      </c>
      <c r="P128" s="216">
        <f t="shared" si="49"/>
        <v>5.0752582611156338</v>
      </c>
      <c r="Q128" s="216"/>
      <c r="R128" s="217"/>
      <c r="S128" s="217"/>
      <c r="T128" s="218"/>
    </row>
    <row r="129" spans="1:20" s="101" customFormat="1" ht="14.25" thickTop="1" thickBot="1">
      <c r="A129" s="219" t="s">
        <v>42</v>
      </c>
      <c r="B129" s="220"/>
      <c r="C129" s="220"/>
      <c r="D129" s="221"/>
      <c r="E129" s="222">
        <f>SUM($E$128:E128)</f>
        <v>4.9232030972814691</v>
      </c>
      <c r="F129" s="222">
        <f>SUM($E$128:F128)</f>
        <v>13.259961009015266</v>
      </c>
      <c r="G129" s="222">
        <f>SUM($E$128:G128)</f>
        <v>23.362316281553561</v>
      </c>
      <c r="H129" s="222">
        <f>SUM($E$128:H128)</f>
        <v>43.993067402409125</v>
      </c>
      <c r="I129" s="222">
        <f>SUM($E$128:I128)</f>
        <v>56.80285160126342</v>
      </c>
      <c r="J129" s="222">
        <f>SUM($E$128:J128)</f>
        <v>64.298951889391276</v>
      </c>
      <c r="K129" s="222">
        <f>SUM($E$128:K128)</f>
        <v>69.88813121832203</v>
      </c>
      <c r="L129" s="222">
        <f>SUM($E$128:L128)</f>
        <v>75.776177794629973</v>
      </c>
      <c r="M129" s="222">
        <f>SUM($E$128:M128)</f>
        <v>82.179752171899338</v>
      </c>
      <c r="N129" s="222">
        <f>SUM($E$128:N128)</f>
        <v>88.962070518914217</v>
      </c>
      <c r="O129" s="222">
        <f>SUM($E$128:O128)</f>
        <v>94.920598525616427</v>
      </c>
      <c r="P129" s="223">
        <f>SUM($E$128:P128)</f>
        <v>99.995856786732062</v>
      </c>
      <c r="Q129" s="223"/>
      <c r="R129" s="224">
        <f>SUM(R14:R127)</f>
        <v>735575124</v>
      </c>
      <c r="S129" s="221"/>
      <c r="T129" s="225">
        <f>SUM(T14:T127)</f>
        <v>100.00000000000001</v>
      </c>
    </row>
    <row r="130" spans="1:20" s="101" customFormat="1" ht="2.25" customHeight="1">
      <c r="A130" s="226"/>
      <c r="B130" s="227"/>
      <c r="C130" s="227"/>
      <c r="D130" s="227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9"/>
      <c r="Q130" s="229"/>
      <c r="R130" s="230" t="s">
        <v>60</v>
      </c>
      <c r="S130" s="227"/>
      <c r="T130" s="231"/>
    </row>
    <row r="131" spans="1:20" s="101" customFormat="1">
      <c r="A131" s="104"/>
      <c r="B131" s="104"/>
      <c r="C131" s="104"/>
      <c r="D131" s="104"/>
      <c r="E131" s="104"/>
      <c r="F131" s="104"/>
      <c r="G131" s="104"/>
      <c r="H131" s="104"/>
      <c r="L131" s="104"/>
      <c r="M131" s="104"/>
      <c r="R131" s="232" t="s">
        <v>60</v>
      </c>
      <c r="T131" s="103"/>
    </row>
    <row r="132" spans="1:20" s="101" customFormat="1">
      <c r="A132" s="233" t="s">
        <v>98</v>
      </c>
      <c r="B132" s="233"/>
      <c r="C132" s="233"/>
      <c r="D132" s="234"/>
      <c r="E132" s="234"/>
      <c r="F132" s="234"/>
      <c r="G132" s="234"/>
      <c r="H132" s="234"/>
      <c r="L132" s="234"/>
      <c r="M132" s="234"/>
      <c r="N132" s="233" t="s">
        <v>43</v>
      </c>
      <c r="O132" s="233"/>
      <c r="P132" s="233"/>
      <c r="Q132" s="233"/>
      <c r="R132" s="233"/>
      <c r="T132" s="235"/>
    </row>
    <row r="133" spans="1:20" s="101" customFormat="1" ht="15.75">
      <c r="A133" s="233" t="s">
        <v>99</v>
      </c>
      <c r="B133" s="233"/>
      <c r="C133" s="233"/>
      <c r="D133" s="234"/>
      <c r="E133" s="234"/>
      <c r="F133" s="234"/>
      <c r="G133" s="234"/>
      <c r="H133" s="234"/>
      <c r="L133" s="236"/>
      <c r="M133" s="236"/>
      <c r="N133" s="237"/>
      <c r="O133" s="237"/>
      <c r="P133" s="236"/>
      <c r="S133" s="236"/>
      <c r="T133" s="236"/>
    </row>
    <row r="134" spans="1:20" s="101" customFormat="1" ht="15.75">
      <c r="A134" s="233" t="s">
        <v>56</v>
      </c>
      <c r="B134" s="233"/>
      <c r="C134" s="233"/>
      <c r="D134" s="234"/>
      <c r="E134" s="234"/>
      <c r="F134" s="234"/>
      <c r="G134" s="234"/>
      <c r="H134" s="234"/>
      <c r="L134" s="236"/>
      <c r="M134" s="236"/>
      <c r="N134" s="237"/>
      <c r="O134" s="237"/>
      <c r="P134" s="236"/>
      <c r="S134" s="236"/>
      <c r="T134" s="236"/>
    </row>
    <row r="135" spans="1:20" s="101" customFormat="1" ht="15.75">
      <c r="A135" s="233" t="s">
        <v>100</v>
      </c>
      <c r="B135" s="233"/>
      <c r="C135" s="233"/>
      <c r="D135" s="234"/>
      <c r="E135" s="234"/>
      <c r="F135" s="234"/>
      <c r="G135" s="234"/>
      <c r="H135" s="234"/>
      <c r="L135" s="238"/>
      <c r="M135" s="238"/>
      <c r="N135" s="239"/>
      <c r="O135" s="239"/>
      <c r="P135" s="240" t="s">
        <v>46</v>
      </c>
      <c r="S135" s="238"/>
      <c r="T135" s="238"/>
    </row>
    <row r="136" spans="1:20" s="101" customFormat="1" ht="15.75">
      <c r="A136" s="234"/>
      <c r="B136" s="234"/>
      <c r="C136" s="234"/>
      <c r="D136" s="234"/>
      <c r="E136" s="234"/>
      <c r="F136" s="234"/>
      <c r="G136" s="234"/>
      <c r="H136" s="234"/>
      <c r="L136" s="238"/>
      <c r="M136" s="238"/>
      <c r="N136" s="239"/>
      <c r="O136" s="239"/>
      <c r="P136" s="241"/>
      <c r="S136" s="238"/>
      <c r="T136" s="238"/>
    </row>
    <row r="137" spans="1:20" s="101" customFormat="1" ht="15.75">
      <c r="A137" s="234"/>
      <c r="B137" s="234"/>
      <c r="C137" s="234"/>
      <c r="D137" s="234"/>
      <c r="E137" s="234"/>
      <c r="F137" s="234"/>
      <c r="G137" s="234"/>
      <c r="H137" s="234"/>
      <c r="L137" s="238"/>
      <c r="M137" s="238"/>
      <c r="N137" s="239"/>
      <c r="O137" s="239"/>
      <c r="P137" s="241"/>
      <c r="S137" s="238"/>
      <c r="T137" s="238"/>
    </row>
    <row r="138" spans="1:20" s="101" customFormat="1" ht="5.25" customHeight="1">
      <c r="A138" s="234"/>
      <c r="B138" s="234"/>
      <c r="C138" s="234"/>
      <c r="D138" s="234"/>
      <c r="E138" s="234"/>
      <c r="F138" s="234"/>
      <c r="G138" s="234"/>
      <c r="H138" s="234"/>
      <c r="L138" s="238"/>
      <c r="M138" s="238"/>
      <c r="N138" s="239"/>
      <c r="O138" s="239"/>
      <c r="P138" s="241"/>
      <c r="S138" s="238"/>
      <c r="T138" s="238"/>
    </row>
    <row r="139" spans="1:20" s="101" customFormat="1" ht="15.75">
      <c r="A139" s="242" t="s">
        <v>101</v>
      </c>
      <c r="B139" s="242"/>
      <c r="C139" s="242"/>
      <c r="D139" s="243"/>
      <c r="E139" s="243"/>
      <c r="F139" s="243"/>
      <c r="G139" s="243"/>
      <c r="H139" s="243"/>
      <c r="L139" s="244"/>
      <c r="M139" s="244"/>
      <c r="N139" s="239"/>
      <c r="O139" s="239"/>
      <c r="P139" s="245" t="s">
        <v>57</v>
      </c>
      <c r="S139" s="244"/>
      <c r="T139" s="244"/>
    </row>
    <row r="140" spans="1:20" s="101" customFormat="1" ht="15.75">
      <c r="A140" s="233" t="s">
        <v>49</v>
      </c>
      <c r="B140" s="233"/>
      <c r="C140" s="233"/>
      <c r="D140" s="234"/>
      <c r="E140" s="234"/>
      <c r="F140" s="234"/>
      <c r="G140" s="234"/>
      <c r="H140" s="234"/>
      <c r="L140" s="238"/>
      <c r="M140" s="238"/>
      <c r="N140" s="239"/>
      <c r="O140" s="239"/>
      <c r="P140" s="240" t="s">
        <v>50</v>
      </c>
      <c r="S140" s="238"/>
      <c r="T140" s="238"/>
    </row>
  </sheetData>
  <mergeCells count="22">
    <mergeCell ref="A133:C133"/>
    <mergeCell ref="A134:C134"/>
    <mergeCell ref="A135:C135"/>
    <mergeCell ref="A139:C139"/>
    <mergeCell ref="A140:C140"/>
    <mergeCell ref="H9:J9"/>
    <mergeCell ref="K9:M9"/>
    <mergeCell ref="N9:P9"/>
    <mergeCell ref="B12:C12"/>
    <mergeCell ref="B128:C128"/>
    <mergeCell ref="A132:C132"/>
    <mergeCell ref="N132:R132"/>
    <mergeCell ref="A1:T1"/>
    <mergeCell ref="A2:T2"/>
    <mergeCell ref="C6:D6"/>
    <mergeCell ref="A8:A11"/>
    <mergeCell ref="B8:C11"/>
    <mergeCell ref="D8:D11"/>
    <mergeCell ref="E8:P8"/>
    <mergeCell ref="R8:R10"/>
    <mergeCell ref="S8:S10"/>
    <mergeCell ref="E9:G9"/>
  </mergeCells>
  <printOptions horizontalCentered="1"/>
  <pageMargins left="0.11811023622047245" right="0.11811023622047245" top="0.15748031496062992" bottom="0.15748031496062992" header="0.31496062992125984" footer="0.31496062992125984"/>
  <pageSetup paperSize="121"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36"/>
  <sheetViews>
    <sheetView workbookViewId="0">
      <selection activeCell="E18" sqref="E18"/>
    </sheetView>
  </sheetViews>
  <sheetFormatPr defaultRowHeight="12.75"/>
  <cols>
    <col min="1" max="1" width="0.5703125" style="250" customWidth="1"/>
    <col min="2" max="2" width="29.140625" style="250" customWidth="1"/>
    <col min="3" max="3" width="5.7109375" style="250" customWidth="1"/>
    <col min="4" max="4" width="4.42578125" style="250" customWidth="1"/>
    <col min="5" max="5" width="7.85546875" style="250" customWidth="1"/>
    <col min="6" max="6" width="6" style="250" customWidth="1"/>
    <col min="7" max="7" width="6.42578125" style="250" customWidth="1"/>
    <col min="8" max="8" width="5.7109375" style="250" customWidth="1"/>
    <col min="9" max="9" width="6.28515625" style="250" customWidth="1"/>
    <col min="10" max="10" width="8.140625" style="250" customWidth="1"/>
    <col min="11" max="11" width="7.85546875" style="250" customWidth="1"/>
    <col min="12" max="12" width="7.7109375" style="250" customWidth="1"/>
    <col min="13" max="13" width="7" style="250" customWidth="1"/>
    <col min="14" max="14" width="6.85546875" style="250" customWidth="1"/>
    <col min="15" max="15" width="8" style="250" customWidth="1"/>
    <col min="16" max="16" width="7.5703125" style="250" customWidth="1"/>
    <col min="17" max="17" width="8.42578125" style="250" customWidth="1"/>
    <col min="18" max="18" width="12.140625" style="250" customWidth="1"/>
    <col min="19" max="19" width="8.28515625" style="250" customWidth="1"/>
    <col min="20" max="20" width="9.28515625" style="250" customWidth="1"/>
    <col min="21" max="16384" width="9.140625" style="250"/>
  </cols>
  <sheetData>
    <row r="1" spans="2:20" s="248" customFormat="1" ht="15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s="248" customFormat="1" ht="15.7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s="249" customFormat="1" ht="16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s="249" customFormat="1">
      <c r="B4" s="3" t="s">
        <v>2</v>
      </c>
      <c r="C4" s="5" t="s">
        <v>3</v>
      </c>
      <c r="D4" s="3" t="s">
        <v>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T4" s="3"/>
    </row>
    <row r="5" spans="2:20" s="249" customFormat="1">
      <c r="B5" s="3" t="s">
        <v>5</v>
      </c>
      <c r="C5" s="5" t="s">
        <v>3</v>
      </c>
      <c r="D5" s="3" t="s">
        <v>102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T5" s="3"/>
    </row>
    <row r="6" spans="2:20" s="249" customFormat="1">
      <c r="B6" s="3" t="s">
        <v>7</v>
      </c>
      <c r="C6" s="6" t="s">
        <v>3</v>
      </c>
      <c r="D6" s="7">
        <f>SUM(R14)</f>
        <v>138632000</v>
      </c>
      <c r="E6" s="7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0" ht="12.75" customHeight="1" thickBo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2:20" s="249" customFormat="1" ht="18.75" customHeight="1">
      <c r="B8" s="10" t="s">
        <v>8</v>
      </c>
      <c r="C8" s="11" t="s">
        <v>9</v>
      </c>
      <c r="D8" s="12"/>
      <c r="E8" s="13" t="s">
        <v>10</v>
      </c>
      <c r="F8" s="14" t="s">
        <v>11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3" t="s">
        <v>7</v>
      </c>
      <c r="S8" s="13" t="s">
        <v>12</v>
      </c>
      <c r="T8" s="17" t="s">
        <v>13</v>
      </c>
    </row>
    <row r="9" spans="2:20" s="249" customFormat="1">
      <c r="B9" s="18"/>
      <c r="C9" s="19"/>
      <c r="D9" s="20"/>
      <c r="E9" s="21"/>
      <c r="F9" s="22" t="s">
        <v>14</v>
      </c>
      <c r="G9" s="23"/>
      <c r="H9" s="24"/>
      <c r="I9" s="22" t="s">
        <v>15</v>
      </c>
      <c r="J9" s="23"/>
      <c r="K9" s="24"/>
      <c r="L9" s="22" t="s">
        <v>16</v>
      </c>
      <c r="M9" s="23"/>
      <c r="N9" s="24"/>
      <c r="O9" s="22" t="s">
        <v>17</v>
      </c>
      <c r="P9" s="23"/>
      <c r="Q9" s="24"/>
      <c r="R9" s="21"/>
      <c r="S9" s="21"/>
      <c r="T9" s="25" t="s">
        <v>18</v>
      </c>
    </row>
    <row r="10" spans="2:20" s="249" customFormat="1">
      <c r="B10" s="18"/>
      <c r="C10" s="19"/>
      <c r="D10" s="20"/>
      <c r="E10" s="21"/>
      <c r="F10" s="26" t="s">
        <v>19</v>
      </c>
      <c r="G10" s="26" t="s">
        <v>20</v>
      </c>
      <c r="H10" s="26" t="s">
        <v>21</v>
      </c>
      <c r="I10" s="26" t="s">
        <v>22</v>
      </c>
      <c r="J10" s="26" t="s">
        <v>23</v>
      </c>
      <c r="K10" s="26" t="s">
        <v>24</v>
      </c>
      <c r="L10" s="26" t="s">
        <v>25</v>
      </c>
      <c r="M10" s="26" t="s">
        <v>26</v>
      </c>
      <c r="N10" s="26" t="s">
        <v>27</v>
      </c>
      <c r="O10" s="26" t="s">
        <v>28</v>
      </c>
      <c r="P10" s="26" t="s">
        <v>29</v>
      </c>
      <c r="Q10" s="26" t="s">
        <v>30</v>
      </c>
      <c r="R10" s="21"/>
      <c r="S10" s="21"/>
      <c r="T10" s="25"/>
    </row>
    <row r="11" spans="2:20" s="249" customFormat="1" ht="9" customHeight="1">
      <c r="B11" s="27"/>
      <c r="C11" s="28"/>
      <c r="D11" s="29"/>
      <c r="E11" s="30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31" t="s">
        <v>31</v>
      </c>
      <c r="S11" s="31" t="s">
        <v>31</v>
      </c>
      <c r="T11" s="32" t="s">
        <v>32</v>
      </c>
    </row>
    <row r="12" spans="2:20" s="251" customFormat="1" ht="12" customHeight="1">
      <c r="B12" s="33">
        <v>1</v>
      </c>
      <c r="C12" s="34">
        <v>2</v>
      </c>
      <c r="D12" s="35"/>
      <c r="E12" s="36">
        <v>3</v>
      </c>
      <c r="F12" s="36">
        <v>4</v>
      </c>
      <c r="G12" s="36">
        <v>5</v>
      </c>
      <c r="H12" s="36">
        <v>6</v>
      </c>
      <c r="I12" s="36">
        <v>7</v>
      </c>
      <c r="J12" s="36">
        <v>8</v>
      </c>
      <c r="K12" s="36">
        <v>9</v>
      </c>
      <c r="L12" s="36">
        <v>10</v>
      </c>
      <c r="M12" s="36">
        <v>11</v>
      </c>
      <c r="N12" s="36">
        <v>12</v>
      </c>
      <c r="O12" s="36">
        <v>13</v>
      </c>
      <c r="P12" s="36">
        <v>14</v>
      </c>
      <c r="Q12" s="36">
        <v>15</v>
      </c>
      <c r="R12" s="37">
        <v>16</v>
      </c>
      <c r="S12" s="37">
        <v>17</v>
      </c>
      <c r="T12" s="38">
        <v>18</v>
      </c>
    </row>
    <row r="13" spans="2:20" s="249" customFormat="1" ht="11.25" customHeight="1">
      <c r="B13" s="40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  <c r="S13" s="43"/>
      <c r="T13" s="44"/>
    </row>
    <row r="14" spans="2:20" s="249" customFormat="1" ht="31.5" customHeight="1">
      <c r="B14" s="45" t="str">
        <f>D5</f>
        <v>Pemeliharaan Rutin/ Berkala Gedung/ Bangunan Kantor</v>
      </c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8">
        <f>SUM(R15:R20)</f>
        <v>138632000</v>
      </c>
      <c r="S14" s="48"/>
      <c r="T14" s="49">
        <f>SUM(T15:T20)</f>
        <v>100</v>
      </c>
    </row>
    <row r="15" spans="2:20" s="249" customFormat="1" ht="31.5" customHeight="1">
      <c r="B15" s="252" t="s">
        <v>103</v>
      </c>
      <c r="C15" s="253">
        <v>8</v>
      </c>
      <c r="D15" s="254" t="s">
        <v>104</v>
      </c>
      <c r="E15" s="254"/>
      <c r="F15" s="255">
        <v>0</v>
      </c>
      <c r="G15" s="256">
        <v>0</v>
      </c>
      <c r="H15" s="256">
        <v>0</v>
      </c>
      <c r="I15" s="256">
        <v>0</v>
      </c>
      <c r="J15" s="256">
        <v>8</v>
      </c>
      <c r="K15" s="256">
        <v>0</v>
      </c>
      <c r="L15" s="256">
        <v>0</v>
      </c>
      <c r="M15" s="256">
        <v>0</v>
      </c>
      <c r="N15" s="256">
        <v>0</v>
      </c>
      <c r="O15" s="256">
        <v>0</v>
      </c>
      <c r="P15" s="256">
        <v>0</v>
      </c>
      <c r="Q15" s="256">
        <v>0</v>
      </c>
      <c r="R15" s="66">
        <f>[2]gedung!S32</f>
        <v>25000000</v>
      </c>
      <c r="S15" s="66"/>
      <c r="T15" s="64">
        <f>(R15/R14)*100</f>
        <v>18.033354492469272</v>
      </c>
    </row>
    <row r="16" spans="2:20" s="249" customFormat="1">
      <c r="B16" s="58" t="s">
        <v>36</v>
      </c>
      <c r="C16" s="253"/>
      <c r="D16" s="254"/>
      <c r="E16" s="254"/>
      <c r="F16" s="62">
        <f>F15/$C$15*100</f>
        <v>0</v>
      </c>
      <c r="G16" s="62">
        <f t="shared" ref="G16:Q16" si="0">G15/$C$15*100</f>
        <v>0</v>
      </c>
      <c r="H16" s="62">
        <f t="shared" si="0"/>
        <v>0</v>
      </c>
      <c r="I16" s="62">
        <f t="shared" si="0"/>
        <v>0</v>
      </c>
      <c r="J16" s="62">
        <f t="shared" si="0"/>
        <v>100</v>
      </c>
      <c r="K16" s="62">
        <f t="shared" si="0"/>
        <v>0</v>
      </c>
      <c r="L16" s="62">
        <f t="shared" si="0"/>
        <v>0</v>
      </c>
      <c r="M16" s="62">
        <f t="shared" si="0"/>
        <v>0</v>
      </c>
      <c r="N16" s="62">
        <f t="shared" si="0"/>
        <v>0</v>
      </c>
      <c r="O16" s="62">
        <f t="shared" si="0"/>
        <v>0</v>
      </c>
      <c r="P16" s="62">
        <f t="shared" si="0"/>
        <v>0</v>
      </c>
      <c r="Q16" s="62">
        <f t="shared" si="0"/>
        <v>0</v>
      </c>
      <c r="R16" s="63"/>
      <c r="S16" s="63"/>
      <c r="T16" s="64"/>
    </row>
    <row r="17" spans="2:20" s="249" customFormat="1">
      <c r="B17" s="58" t="s">
        <v>37</v>
      </c>
      <c r="C17" s="253"/>
      <c r="D17" s="254"/>
      <c r="E17" s="254"/>
      <c r="F17" s="62">
        <f>SUM($F$16:F16)</f>
        <v>0</v>
      </c>
      <c r="G17" s="62">
        <f>SUM($F$16:G16)</f>
        <v>0</v>
      </c>
      <c r="H17" s="62">
        <f>SUM($F$16:H16)</f>
        <v>0</v>
      </c>
      <c r="I17" s="62">
        <f>SUM($F$16:I16)</f>
        <v>0</v>
      </c>
      <c r="J17" s="62">
        <f>SUM($F$16:J16)</f>
        <v>100</v>
      </c>
      <c r="K17" s="62">
        <f>SUM($F$16:K16)</f>
        <v>100</v>
      </c>
      <c r="L17" s="62">
        <f>SUM($F$16:L16)</f>
        <v>100</v>
      </c>
      <c r="M17" s="62">
        <f>SUM($F$16:M16)</f>
        <v>100</v>
      </c>
      <c r="N17" s="62">
        <f>SUM($F$16:N16)</f>
        <v>100</v>
      </c>
      <c r="O17" s="62">
        <f>SUM($F$16:O16)</f>
        <v>100</v>
      </c>
      <c r="P17" s="62">
        <f>SUM($F$16:P16)</f>
        <v>100</v>
      </c>
      <c r="Q17" s="62">
        <f>SUM($F$16:Q16)</f>
        <v>100</v>
      </c>
      <c r="R17" s="66"/>
      <c r="S17" s="66"/>
      <c r="T17" s="64"/>
    </row>
    <row r="18" spans="2:20" s="249" customFormat="1">
      <c r="B18" s="58" t="s">
        <v>38</v>
      </c>
      <c r="C18" s="253"/>
      <c r="D18" s="254"/>
      <c r="E18" s="254"/>
      <c r="F18" s="62">
        <f>F16*$T$15/100</f>
        <v>0</v>
      </c>
      <c r="G18" s="62">
        <f>G16*$T$15/100</f>
        <v>0</v>
      </c>
      <c r="H18" s="62">
        <f t="shared" ref="H18:P18" si="1">H16*$T$15/100</f>
        <v>0</v>
      </c>
      <c r="I18" s="62">
        <f t="shared" si="1"/>
        <v>0</v>
      </c>
      <c r="J18" s="62">
        <f>J16*$T$15/100</f>
        <v>18.033354492469272</v>
      </c>
      <c r="K18" s="62">
        <f t="shared" si="1"/>
        <v>0</v>
      </c>
      <c r="L18" s="62">
        <f t="shared" si="1"/>
        <v>0</v>
      </c>
      <c r="M18" s="62">
        <f t="shared" si="1"/>
        <v>0</v>
      </c>
      <c r="N18" s="62">
        <f t="shared" si="1"/>
        <v>0</v>
      </c>
      <c r="O18" s="62">
        <f t="shared" si="1"/>
        <v>0</v>
      </c>
      <c r="P18" s="62">
        <f t="shared" si="1"/>
        <v>0</v>
      </c>
      <c r="Q18" s="62">
        <f>Q16*$T$15/100</f>
        <v>0</v>
      </c>
      <c r="R18" s="66"/>
      <c r="S18" s="66"/>
      <c r="T18" s="64"/>
    </row>
    <row r="19" spans="2:20" s="249" customFormat="1">
      <c r="B19" s="58"/>
      <c r="C19" s="253"/>
      <c r="D19" s="254"/>
      <c r="E19" s="254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6"/>
      <c r="S19" s="66"/>
      <c r="T19" s="64"/>
    </row>
    <row r="20" spans="2:20" s="249" customFormat="1" ht="27" customHeight="1">
      <c r="B20" s="50" t="s">
        <v>105</v>
      </c>
      <c r="C20" s="257">
        <v>3</v>
      </c>
      <c r="D20" s="258" t="s">
        <v>55</v>
      </c>
      <c r="E20" s="259" t="s">
        <v>35</v>
      </c>
      <c r="F20" s="260">
        <v>0</v>
      </c>
      <c r="G20" s="261">
        <v>0</v>
      </c>
      <c r="H20" s="261">
        <v>0</v>
      </c>
      <c r="I20" s="261">
        <v>0</v>
      </c>
      <c r="J20" s="261">
        <v>3</v>
      </c>
      <c r="K20" s="261">
        <v>0</v>
      </c>
      <c r="L20" s="261">
        <v>0</v>
      </c>
      <c r="M20" s="261">
        <v>0</v>
      </c>
      <c r="N20" s="261">
        <v>0</v>
      </c>
      <c r="O20" s="261">
        <v>0</v>
      </c>
      <c r="P20" s="261">
        <v>0</v>
      </c>
      <c r="Q20" s="261">
        <v>0</v>
      </c>
      <c r="R20" s="262">
        <f>[2]gedung!S35</f>
        <v>113632000</v>
      </c>
      <c r="S20" s="262"/>
      <c r="T20" s="263">
        <f>(R20/R14)*100</f>
        <v>81.966645507530728</v>
      </c>
    </row>
    <row r="21" spans="2:20" s="249" customFormat="1" ht="15" customHeight="1">
      <c r="B21" s="58" t="s">
        <v>36</v>
      </c>
      <c r="C21" s="264">
        <f>SUM(F20:Q20)</f>
        <v>3</v>
      </c>
      <c r="D21" s="60"/>
      <c r="E21" s="61"/>
      <c r="F21" s="62">
        <f>F20/$C$20*100</f>
        <v>0</v>
      </c>
      <c r="G21" s="62">
        <f t="shared" ref="G21:Q21" si="2">G20/$C$20*100</f>
        <v>0</v>
      </c>
      <c r="H21" s="62">
        <f t="shared" si="2"/>
        <v>0</v>
      </c>
      <c r="I21" s="62">
        <f t="shared" si="2"/>
        <v>0</v>
      </c>
      <c r="J21" s="62">
        <f t="shared" si="2"/>
        <v>100</v>
      </c>
      <c r="K21" s="62">
        <f t="shared" si="2"/>
        <v>0</v>
      </c>
      <c r="L21" s="62">
        <f t="shared" si="2"/>
        <v>0</v>
      </c>
      <c r="M21" s="62">
        <f t="shared" si="2"/>
        <v>0</v>
      </c>
      <c r="N21" s="62">
        <f t="shared" si="2"/>
        <v>0</v>
      </c>
      <c r="O21" s="62">
        <f t="shared" si="2"/>
        <v>0</v>
      </c>
      <c r="P21" s="62">
        <f t="shared" si="2"/>
        <v>0</v>
      </c>
      <c r="Q21" s="62">
        <f t="shared" si="2"/>
        <v>0</v>
      </c>
      <c r="R21" s="63"/>
      <c r="S21" s="63"/>
      <c r="T21" s="64"/>
    </row>
    <row r="22" spans="2:20" s="249" customFormat="1" ht="15" customHeight="1">
      <c r="B22" s="58" t="s">
        <v>37</v>
      </c>
      <c r="C22" s="65"/>
      <c r="D22" s="60"/>
      <c r="E22" s="61"/>
      <c r="F22" s="62">
        <f>SUM($F$21:F21)</f>
        <v>0</v>
      </c>
      <c r="G22" s="62">
        <f>SUM($F$21:G21)</f>
        <v>0</v>
      </c>
      <c r="H22" s="62">
        <f>SUM($F$21:H21)</f>
        <v>0</v>
      </c>
      <c r="I22" s="62">
        <f>SUM($F$21:I21)</f>
        <v>0</v>
      </c>
      <c r="J22" s="62">
        <f>SUM($F$21:J21)</f>
        <v>100</v>
      </c>
      <c r="K22" s="62">
        <f>SUM($F$21:K21)</f>
        <v>100</v>
      </c>
      <c r="L22" s="62">
        <f>SUM($F$21:L21)</f>
        <v>100</v>
      </c>
      <c r="M22" s="62">
        <f>SUM($F$21:M21)</f>
        <v>100</v>
      </c>
      <c r="N22" s="62">
        <f>SUM($F$21:N21)</f>
        <v>100</v>
      </c>
      <c r="O22" s="62">
        <f>SUM($F$21:O21)</f>
        <v>100</v>
      </c>
      <c r="P22" s="62">
        <f>SUM($F$21:P21)</f>
        <v>100</v>
      </c>
      <c r="Q22" s="62">
        <f>SUM($F$21:Q21)</f>
        <v>100</v>
      </c>
      <c r="R22" s="66"/>
      <c r="S22" s="66"/>
      <c r="T22" s="64"/>
    </row>
    <row r="23" spans="2:20" s="249" customFormat="1" ht="15" customHeight="1">
      <c r="B23" s="58" t="s">
        <v>38</v>
      </c>
      <c r="C23" s="65"/>
      <c r="D23" s="60"/>
      <c r="E23" s="61"/>
      <c r="F23" s="62">
        <f>F21*$T$15/100</f>
        <v>0</v>
      </c>
      <c r="G23" s="62">
        <f>G21*$T$15/100</f>
        <v>0</v>
      </c>
      <c r="H23" s="62">
        <f t="shared" ref="H23:P23" si="3">H21*$T$15/100</f>
        <v>0</v>
      </c>
      <c r="I23" s="62">
        <f t="shared" si="3"/>
        <v>0</v>
      </c>
      <c r="J23" s="62">
        <f>J21*$T$20/100</f>
        <v>81.966645507530714</v>
      </c>
      <c r="K23" s="62">
        <f t="shared" si="3"/>
        <v>0</v>
      </c>
      <c r="L23" s="62">
        <f t="shared" si="3"/>
        <v>0</v>
      </c>
      <c r="M23" s="62">
        <f t="shared" si="3"/>
        <v>0</v>
      </c>
      <c r="N23" s="62">
        <f t="shared" si="3"/>
        <v>0</v>
      </c>
      <c r="O23" s="62">
        <f t="shared" si="3"/>
        <v>0</v>
      </c>
      <c r="P23" s="62">
        <f t="shared" si="3"/>
        <v>0</v>
      </c>
      <c r="Q23" s="62">
        <f>Q21*$T$15/100</f>
        <v>0</v>
      </c>
      <c r="R23" s="66"/>
      <c r="S23" s="66"/>
      <c r="T23" s="64"/>
    </row>
    <row r="24" spans="2:20" s="249" customFormat="1" ht="20.25" customHeight="1">
      <c r="B24" s="67"/>
      <c r="C24" s="65"/>
      <c r="D24" s="60"/>
      <c r="E24" s="61"/>
      <c r="F24" s="68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6"/>
      <c r="S24" s="66"/>
      <c r="T24" s="64"/>
    </row>
    <row r="25" spans="2:20" s="266" customFormat="1" ht="24.75" customHeight="1" thickBot="1">
      <c r="B25" s="265" t="s">
        <v>41</v>
      </c>
      <c r="C25" s="71"/>
      <c r="D25" s="72"/>
      <c r="E25" s="73"/>
      <c r="F25" s="74">
        <f>F18</f>
        <v>0</v>
      </c>
      <c r="G25" s="74">
        <f t="shared" ref="G25:Q25" si="4">G18</f>
        <v>0</v>
      </c>
      <c r="H25" s="74">
        <f t="shared" si="4"/>
        <v>0</v>
      </c>
      <c r="I25" s="74">
        <f t="shared" si="4"/>
        <v>0</v>
      </c>
      <c r="J25" s="74">
        <f>J18+J23</f>
        <v>99.999999999999986</v>
      </c>
      <c r="K25" s="74">
        <f t="shared" si="4"/>
        <v>0</v>
      </c>
      <c r="L25" s="74">
        <f t="shared" si="4"/>
        <v>0</v>
      </c>
      <c r="M25" s="74">
        <f t="shared" si="4"/>
        <v>0</v>
      </c>
      <c r="N25" s="74">
        <f t="shared" si="4"/>
        <v>0</v>
      </c>
      <c r="O25" s="74">
        <f t="shared" si="4"/>
        <v>0</v>
      </c>
      <c r="P25" s="74">
        <f t="shared" si="4"/>
        <v>0</v>
      </c>
      <c r="Q25" s="74">
        <f t="shared" si="4"/>
        <v>0</v>
      </c>
      <c r="R25" s="75"/>
      <c r="S25" s="75"/>
      <c r="T25" s="76"/>
    </row>
    <row r="26" spans="2:20" s="266" customFormat="1" ht="27.75" customHeight="1" thickTop="1" thickBot="1">
      <c r="B26" s="267" t="s">
        <v>42</v>
      </c>
      <c r="C26" s="79"/>
      <c r="D26" s="79"/>
      <c r="E26" s="80"/>
      <c r="F26" s="81">
        <f>SUM(F25)</f>
        <v>0</v>
      </c>
      <c r="G26" s="81">
        <f>SUM(F25:G25)</f>
        <v>0</v>
      </c>
      <c r="H26" s="81">
        <f>SUM(F25:H25)</f>
        <v>0</v>
      </c>
      <c r="I26" s="81">
        <f>SUM(F25:I25)</f>
        <v>0</v>
      </c>
      <c r="J26" s="81">
        <f>SUM(F25:J25)</f>
        <v>99.999999999999986</v>
      </c>
      <c r="K26" s="81">
        <f>SUM(F25:K25)</f>
        <v>99.999999999999986</v>
      </c>
      <c r="L26" s="81">
        <f>SUM(F25:L25)</f>
        <v>99.999999999999986</v>
      </c>
      <c r="M26" s="81">
        <f>SUM(F25:M25)</f>
        <v>99.999999999999986</v>
      </c>
      <c r="N26" s="81">
        <f>SUM(F25:N25)</f>
        <v>99.999999999999986</v>
      </c>
      <c r="O26" s="81">
        <f>SUM(F25:O25)</f>
        <v>99.999999999999986</v>
      </c>
      <c r="P26" s="81">
        <f>SUM(F25:P25)</f>
        <v>99.999999999999986</v>
      </c>
      <c r="Q26" s="81">
        <f>SUM(F25:Q25)</f>
        <v>99.999999999999986</v>
      </c>
      <c r="R26" s="80"/>
      <c r="S26" s="80"/>
      <c r="T26" s="82"/>
    </row>
    <row r="27" spans="2:20" ht="6.75" customHeight="1">
      <c r="B27" s="83"/>
      <c r="C27" s="84"/>
      <c r="D27" s="84"/>
      <c r="E27" s="84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6"/>
      <c r="R27" s="84"/>
      <c r="S27" s="84"/>
      <c r="T27" s="87"/>
    </row>
    <row r="28" spans="2:20" s="249" customFormat="1" ht="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9" t="s">
        <v>43</v>
      </c>
    </row>
    <row r="29" spans="2:20" s="249" customFormat="1" ht="13.5" customHeight="1">
      <c r="C29" s="90" t="s">
        <v>44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88"/>
      <c r="T29" s="90"/>
    </row>
    <row r="30" spans="2:20" s="249" customFormat="1" ht="15">
      <c r="C30" s="90" t="s">
        <v>45</v>
      </c>
      <c r="D30" s="90"/>
      <c r="E30" s="90"/>
      <c r="F30" s="90"/>
      <c r="G30" s="90"/>
      <c r="H30" s="90"/>
      <c r="I30" s="90"/>
      <c r="J30" s="90"/>
      <c r="K30" s="92"/>
      <c r="L30" s="90"/>
      <c r="M30" s="90"/>
      <c r="N30" s="90"/>
      <c r="O30" s="90"/>
      <c r="P30" s="90"/>
      <c r="Q30" s="90" t="s">
        <v>46</v>
      </c>
    </row>
    <row r="31" spans="2:20" s="249" customFormat="1" ht="9.75" customHeight="1"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88"/>
      <c r="T31" s="90"/>
    </row>
    <row r="32" spans="2:20" s="249" customFormat="1" ht="9" customHeight="1"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88"/>
      <c r="T32" s="90"/>
    </row>
    <row r="33" spans="2:20" s="249" customFormat="1" ht="9.75" customHeight="1"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88"/>
      <c r="T33" s="90"/>
    </row>
    <row r="34" spans="2:20" s="249" customFormat="1" ht="15">
      <c r="C34" s="94" t="s">
        <v>47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 t="s">
        <v>48</v>
      </c>
    </row>
    <row r="35" spans="2:20" s="249" customFormat="1" ht="15">
      <c r="C35" s="90" t="s">
        <v>49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 t="s">
        <v>50</v>
      </c>
    </row>
    <row r="36" spans="2:20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95"/>
      <c r="S36" s="95"/>
      <c r="T36" s="8"/>
    </row>
  </sheetData>
  <mergeCells count="16">
    <mergeCell ref="I9:K9"/>
    <mergeCell ref="L9:N9"/>
    <mergeCell ref="O9:Q9"/>
    <mergeCell ref="T9:T10"/>
    <mergeCell ref="C12:D12"/>
    <mergeCell ref="C25:D25"/>
    <mergeCell ref="B1:T1"/>
    <mergeCell ref="B2:T2"/>
    <mergeCell ref="D6:F6"/>
    <mergeCell ref="B8:B11"/>
    <mergeCell ref="C8:D11"/>
    <mergeCell ref="E8:E11"/>
    <mergeCell ref="F8:Q8"/>
    <mergeCell ref="R8:R10"/>
    <mergeCell ref="S8:S10"/>
    <mergeCell ref="F9:H9"/>
  </mergeCells>
  <printOptions horizontalCentered="1"/>
  <pageMargins left="0.31496062992125984" right="0.31496062992125984" top="0.55118110236220474" bottom="0.55118110236220474" header="0.31496062992125984" footer="0.31496062992125984"/>
  <pageSetup paperSize="121" scale="9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W36"/>
  <sheetViews>
    <sheetView topLeftCell="A4" zoomScale="85" zoomScaleNormal="85" zoomScaleSheetLayoutView="100" workbookViewId="0">
      <selection activeCell="H23" sqref="H23"/>
    </sheetView>
  </sheetViews>
  <sheetFormatPr defaultRowHeight="12.75"/>
  <cols>
    <col min="1" max="1" width="0.5703125" style="250" customWidth="1"/>
    <col min="2" max="2" width="29.140625" style="250" customWidth="1"/>
    <col min="3" max="3" width="5.7109375" style="250" customWidth="1"/>
    <col min="4" max="4" width="4.42578125" style="250" customWidth="1"/>
    <col min="5" max="5" width="7.85546875" style="250" customWidth="1"/>
    <col min="6" max="7" width="7.28515625" style="250" customWidth="1"/>
    <col min="8" max="8" width="7.5703125" style="250" customWidth="1"/>
    <col min="9" max="9" width="7.42578125" style="250" customWidth="1"/>
    <col min="10" max="10" width="8.140625" style="250" customWidth="1"/>
    <col min="11" max="11" width="7.85546875" style="250" customWidth="1"/>
    <col min="12" max="12" width="7.7109375" style="250" customWidth="1"/>
    <col min="13" max="13" width="7.85546875" style="250" customWidth="1"/>
    <col min="14" max="14" width="7.7109375" style="250" customWidth="1"/>
    <col min="15" max="15" width="8" style="250" customWidth="1"/>
    <col min="16" max="16" width="7.5703125" style="250" customWidth="1"/>
    <col min="17" max="17" width="8.42578125" style="250" customWidth="1"/>
    <col min="18" max="18" width="12.140625" style="250" customWidth="1"/>
    <col min="19" max="19" width="8.28515625" style="250" customWidth="1"/>
    <col min="20" max="20" width="9.28515625" style="250" customWidth="1"/>
    <col min="21" max="22" width="9.140625" style="250"/>
    <col min="23" max="23" width="10.28515625" style="250" bestFit="1" customWidth="1"/>
    <col min="24" max="16384" width="9.140625" style="250"/>
  </cols>
  <sheetData>
    <row r="1" spans="2:23" s="248" customFormat="1" ht="15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3" s="248" customFormat="1" ht="15.7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3" s="249" customFormat="1" ht="16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3" s="249" customFormat="1">
      <c r="B4" s="3" t="s">
        <v>2</v>
      </c>
      <c r="C4" s="5" t="s">
        <v>3</v>
      </c>
      <c r="D4" s="3" t="s">
        <v>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T4" s="3"/>
    </row>
    <row r="5" spans="2:23" s="249" customFormat="1">
      <c r="B5" s="3" t="s">
        <v>5</v>
      </c>
      <c r="C5" s="5" t="s">
        <v>3</v>
      </c>
      <c r="D5" s="3" t="s">
        <v>109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T5" s="3"/>
    </row>
    <row r="6" spans="2:23" s="249" customFormat="1">
      <c r="B6" s="3" t="s">
        <v>7</v>
      </c>
      <c r="C6" s="6" t="s">
        <v>3</v>
      </c>
      <c r="D6" s="7">
        <f>SUM(R14)</f>
        <v>111359500</v>
      </c>
      <c r="E6" s="7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3" ht="12.75" customHeight="1" thickBo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2:23" s="249" customFormat="1" ht="18.75" customHeight="1">
      <c r="B8" s="10" t="s">
        <v>8</v>
      </c>
      <c r="C8" s="11" t="s">
        <v>9</v>
      </c>
      <c r="D8" s="12"/>
      <c r="E8" s="13" t="s">
        <v>10</v>
      </c>
      <c r="F8" s="14" t="s">
        <v>11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3" t="s">
        <v>7</v>
      </c>
      <c r="S8" s="13" t="s">
        <v>12</v>
      </c>
      <c r="T8" s="17" t="s">
        <v>13</v>
      </c>
    </row>
    <row r="9" spans="2:23" s="249" customFormat="1">
      <c r="B9" s="18"/>
      <c r="C9" s="19"/>
      <c r="D9" s="20"/>
      <c r="E9" s="21"/>
      <c r="F9" s="22" t="s">
        <v>14</v>
      </c>
      <c r="G9" s="23"/>
      <c r="H9" s="24"/>
      <c r="I9" s="22" t="s">
        <v>15</v>
      </c>
      <c r="J9" s="23"/>
      <c r="K9" s="24"/>
      <c r="L9" s="22" t="s">
        <v>16</v>
      </c>
      <c r="M9" s="23"/>
      <c r="N9" s="24"/>
      <c r="O9" s="22" t="s">
        <v>17</v>
      </c>
      <c r="P9" s="23"/>
      <c r="Q9" s="24"/>
      <c r="R9" s="21"/>
      <c r="S9" s="21"/>
      <c r="T9" s="25" t="s">
        <v>18</v>
      </c>
    </row>
    <row r="10" spans="2:23" s="249" customFormat="1">
      <c r="B10" s="18"/>
      <c r="C10" s="19"/>
      <c r="D10" s="20"/>
      <c r="E10" s="21"/>
      <c r="F10" s="26" t="s">
        <v>19</v>
      </c>
      <c r="G10" s="26" t="s">
        <v>20</v>
      </c>
      <c r="H10" s="26" t="s">
        <v>21</v>
      </c>
      <c r="I10" s="26" t="s">
        <v>22</v>
      </c>
      <c r="J10" s="26" t="s">
        <v>23</v>
      </c>
      <c r="K10" s="26" t="s">
        <v>24</v>
      </c>
      <c r="L10" s="26" t="s">
        <v>25</v>
      </c>
      <c r="M10" s="26" t="s">
        <v>26</v>
      </c>
      <c r="N10" s="26" t="s">
        <v>27</v>
      </c>
      <c r="O10" s="26" t="s">
        <v>28</v>
      </c>
      <c r="P10" s="26" t="s">
        <v>29</v>
      </c>
      <c r="Q10" s="26" t="s">
        <v>30</v>
      </c>
      <c r="R10" s="21"/>
      <c r="S10" s="21"/>
      <c r="T10" s="25"/>
    </row>
    <row r="11" spans="2:23" s="249" customFormat="1" ht="9" customHeight="1">
      <c r="B11" s="27"/>
      <c r="C11" s="28"/>
      <c r="D11" s="29"/>
      <c r="E11" s="30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31" t="s">
        <v>31</v>
      </c>
      <c r="S11" s="31" t="s">
        <v>31</v>
      </c>
      <c r="T11" s="32" t="s">
        <v>32</v>
      </c>
    </row>
    <row r="12" spans="2:23" s="251" customFormat="1" ht="12" customHeight="1">
      <c r="B12" s="33">
        <v>1</v>
      </c>
      <c r="C12" s="34">
        <v>2</v>
      </c>
      <c r="D12" s="35"/>
      <c r="E12" s="36">
        <v>3</v>
      </c>
      <c r="F12" s="36">
        <v>4</v>
      </c>
      <c r="G12" s="36">
        <v>5</v>
      </c>
      <c r="H12" s="36">
        <v>6</v>
      </c>
      <c r="I12" s="36">
        <v>7</v>
      </c>
      <c r="J12" s="36">
        <v>8</v>
      </c>
      <c r="K12" s="36">
        <v>9</v>
      </c>
      <c r="L12" s="36">
        <v>10</v>
      </c>
      <c r="M12" s="36">
        <v>11</v>
      </c>
      <c r="N12" s="36">
        <v>12</v>
      </c>
      <c r="O12" s="36">
        <v>13</v>
      </c>
      <c r="P12" s="36">
        <v>14</v>
      </c>
      <c r="Q12" s="36">
        <v>15</v>
      </c>
      <c r="R12" s="37">
        <v>16</v>
      </c>
      <c r="S12" s="37">
        <v>17</v>
      </c>
      <c r="T12" s="38">
        <v>18</v>
      </c>
    </row>
    <row r="13" spans="2:23" s="249" customFormat="1" ht="11.25" customHeight="1">
      <c r="B13" s="40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  <c r="S13" s="43"/>
      <c r="T13" s="44"/>
    </row>
    <row r="14" spans="2:23" s="249" customFormat="1" ht="31.5" customHeight="1">
      <c r="B14" s="45" t="str">
        <f>D5</f>
        <v>Pemeliharaan Rutin/ Berkala Kendaraan Dinas/ Operasional</v>
      </c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8">
        <f>R15+R20</f>
        <v>111359500</v>
      </c>
      <c r="S14" s="48"/>
      <c r="T14" s="49">
        <v>100</v>
      </c>
      <c r="W14" s="268">
        <f>111359500-R14</f>
        <v>0</v>
      </c>
    </row>
    <row r="15" spans="2:23" s="249" customFormat="1" ht="27" customHeight="1">
      <c r="B15" s="50" t="s">
        <v>110</v>
      </c>
      <c r="C15" s="257">
        <v>3</v>
      </c>
      <c r="D15" s="52" t="s">
        <v>111</v>
      </c>
      <c r="E15" s="53" t="s">
        <v>35</v>
      </c>
      <c r="F15" s="54">
        <v>1</v>
      </c>
      <c r="G15" s="55">
        <v>0</v>
      </c>
      <c r="H15" s="55">
        <v>0</v>
      </c>
      <c r="I15" s="55">
        <v>1</v>
      </c>
      <c r="J15" s="55">
        <v>0</v>
      </c>
      <c r="K15" s="55">
        <v>0</v>
      </c>
      <c r="L15" s="55">
        <v>0</v>
      </c>
      <c r="M15" s="55">
        <v>1</v>
      </c>
      <c r="N15" s="55">
        <v>0</v>
      </c>
      <c r="O15" s="55">
        <v>0</v>
      </c>
      <c r="P15" s="55">
        <v>0</v>
      </c>
      <c r="Q15" s="55">
        <v>0</v>
      </c>
      <c r="R15" s="56">
        <v>69198000</v>
      </c>
      <c r="S15" s="56"/>
      <c r="T15" s="57">
        <f>(R15/R14)*100</f>
        <v>62.139287622519859</v>
      </c>
    </row>
    <row r="16" spans="2:23" s="249" customFormat="1" ht="15" customHeight="1">
      <c r="B16" s="58" t="s">
        <v>36</v>
      </c>
      <c r="C16" s="269">
        <f>SUM(F15:Q15)</f>
        <v>3</v>
      </c>
      <c r="D16" s="60"/>
      <c r="E16" s="61"/>
      <c r="F16" s="62">
        <f>F15/$C$15*100</f>
        <v>33.333333333333329</v>
      </c>
      <c r="G16" s="62">
        <f t="shared" ref="G16:Q16" si="0">G15/$C$15*100</f>
        <v>0</v>
      </c>
      <c r="H16" s="62">
        <f t="shared" si="0"/>
        <v>0</v>
      </c>
      <c r="I16" s="62">
        <f t="shared" si="0"/>
        <v>33.333333333333329</v>
      </c>
      <c r="J16" s="62">
        <f t="shared" si="0"/>
        <v>0</v>
      </c>
      <c r="K16" s="62">
        <f t="shared" si="0"/>
        <v>0</v>
      </c>
      <c r="L16" s="62">
        <f t="shared" si="0"/>
        <v>0</v>
      </c>
      <c r="M16" s="62">
        <f t="shared" si="0"/>
        <v>33.333333333333329</v>
      </c>
      <c r="N16" s="62">
        <f t="shared" si="0"/>
        <v>0</v>
      </c>
      <c r="O16" s="62">
        <f t="shared" si="0"/>
        <v>0</v>
      </c>
      <c r="P16" s="62">
        <f t="shared" si="0"/>
        <v>0</v>
      </c>
      <c r="Q16" s="62">
        <f t="shared" si="0"/>
        <v>0</v>
      </c>
      <c r="R16" s="63"/>
      <c r="S16" s="63"/>
      <c r="T16" s="64"/>
    </row>
    <row r="17" spans="2:23" s="249" customFormat="1" ht="15" customHeight="1">
      <c r="B17" s="58" t="s">
        <v>37</v>
      </c>
      <c r="C17" s="65"/>
      <c r="D17" s="60"/>
      <c r="E17" s="61"/>
      <c r="F17" s="62">
        <f>SUM($F$16:F16)</f>
        <v>33.333333333333329</v>
      </c>
      <c r="G17" s="62">
        <f>SUM($F$16:G16)</f>
        <v>33.333333333333329</v>
      </c>
      <c r="H17" s="62">
        <f>SUM($F$16:H16)</f>
        <v>33.333333333333329</v>
      </c>
      <c r="I17" s="62">
        <f>SUM($F$16:I16)</f>
        <v>66.666666666666657</v>
      </c>
      <c r="J17" s="62">
        <f>SUM($F$16:J16)</f>
        <v>66.666666666666657</v>
      </c>
      <c r="K17" s="62">
        <f>SUM($F$16:K16)</f>
        <v>66.666666666666657</v>
      </c>
      <c r="L17" s="62">
        <f>SUM($F$16:L16)</f>
        <v>66.666666666666657</v>
      </c>
      <c r="M17" s="62">
        <f>SUM($F$16:M16)</f>
        <v>99.999999999999986</v>
      </c>
      <c r="N17" s="62">
        <f>SUM($F$16:N16)</f>
        <v>99.999999999999986</v>
      </c>
      <c r="O17" s="62">
        <f>SUM($F$16:O16)</f>
        <v>99.999999999999986</v>
      </c>
      <c r="P17" s="62">
        <f>SUM($F$16:P16)</f>
        <v>99.999999999999986</v>
      </c>
      <c r="Q17" s="62">
        <f>SUM($F$16:Q16)</f>
        <v>99.999999999999986</v>
      </c>
      <c r="R17" s="66"/>
      <c r="S17" s="66"/>
      <c r="T17" s="64"/>
    </row>
    <row r="18" spans="2:23" s="249" customFormat="1" ht="15" customHeight="1">
      <c r="B18" s="58" t="s">
        <v>38</v>
      </c>
      <c r="C18" s="65"/>
      <c r="D18" s="60"/>
      <c r="E18" s="61"/>
      <c r="F18" s="62">
        <f>F16*$T$15/100</f>
        <v>20.71309587417328</v>
      </c>
      <c r="G18" s="62">
        <f>G16*$T$15/100</f>
        <v>0</v>
      </c>
      <c r="H18" s="62">
        <f t="shared" ref="H18:P18" si="1">H16*$T$15/100</f>
        <v>0</v>
      </c>
      <c r="I18" s="62">
        <f t="shared" si="1"/>
        <v>20.71309587417328</v>
      </c>
      <c r="J18" s="62">
        <f t="shared" si="1"/>
        <v>0</v>
      </c>
      <c r="K18" s="62">
        <f t="shared" si="1"/>
        <v>0</v>
      </c>
      <c r="L18" s="62">
        <f t="shared" si="1"/>
        <v>0</v>
      </c>
      <c r="M18" s="62">
        <f t="shared" si="1"/>
        <v>20.71309587417328</v>
      </c>
      <c r="N18" s="62">
        <f t="shared" si="1"/>
        <v>0</v>
      </c>
      <c r="O18" s="62">
        <f t="shared" si="1"/>
        <v>0</v>
      </c>
      <c r="P18" s="62">
        <f t="shared" si="1"/>
        <v>0</v>
      </c>
      <c r="Q18" s="62">
        <f>Q16*$T$15/100</f>
        <v>0</v>
      </c>
      <c r="R18" s="66"/>
      <c r="S18" s="66"/>
      <c r="T18" s="64"/>
    </row>
    <row r="19" spans="2:23" s="249" customFormat="1" ht="15" customHeight="1">
      <c r="B19" s="58"/>
      <c r="C19" s="65"/>
      <c r="D19" s="60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6"/>
      <c r="S19" s="66"/>
      <c r="T19" s="64"/>
    </row>
    <row r="20" spans="2:23" s="249" customFormat="1" ht="27" customHeight="1">
      <c r="B20" s="50" t="s">
        <v>112</v>
      </c>
      <c r="C20" s="257">
        <v>17</v>
      </c>
      <c r="D20" s="52" t="s">
        <v>111</v>
      </c>
      <c r="E20" s="53" t="s">
        <v>35</v>
      </c>
      <c r="F20" s="54">
        <v>2</v>
      </c>
      <c r="G20" s="55">
        <v>0</v>
      </c>
      <c r="H20" s="55">
        <v>1</v>
      </c>
      <c r="I20" s="55">
        <v>1</v>
      </c>
      <c r="J20" s="55">
        <v>1</v>
      </c>
      <c r="K20" s="55">
        <v>3</v>
      </c>
      <c r="L20" s="55">
        <v>2</v>
      </c>
      <c r="M20" s="55">
        <v>0</v>
      </c>
      <c r="N20" s="55">
        <v>2</v>
      </c>
      <c r="O20" s="55">
        <v>2</v>
      </c>
      <c r="P20" s="55">
        <v>2</v>
      </c>
      <c r="Q20" s="55">
        <v>1</v>
      </c>
      <c r="R20" s="56">
        <f>3825000+6500000+28350000+236500+1500000+1750000</f>
        <v>42161500</v>
      </c>
      <c r="S20" s="56"/>
      <c r="T20" s="57">
        <f>(R20/R14)*100</f>
        <v>37.860712377480141</v>
      </c>
      <c r="W20" s="249">
        <f>SUM(F20:Q20)</f>
        <v>17</v>
      </c>
    </row>
    <row r="21" spans="2:23" s="249" customFormat="1" ht="15" customHeight="1">
      <c r="B21" s="58" t="s">
        <v>36</v>
      </c>
      <c r="C21" s="269">
        <f>SUM(F20:Q20)</f>
        <v>17</v>
      </c>
      <c r="D21" s="60"/>
      <c r="E21" s="61"/>
      <c r="F21" s="62">
        <f>F20/$C$20*100</f>
        <v>11.76470588235294</v>
      </c>
      <c r="G21" s="62">
        <f t="shared" ref="G21:Q21" si="2">G20/$C$20*100</f>
        <v>0</v>
      </c>
      <c r="H21" s="62">
        <f t="shared" si="2"/>
        <v>5.8823529411764701</v>
      </c>
      <c r="I21" s="62">
        <f t="shared" si="2"/>
        <v>5.8823529411764701</v>
      </c>
      <c r="J21" s="62">
        <f t="shared" si="2"/>
        <v>5.8823529411764701</v>
      </c>
      <c r="K21" s="62">
        <f t="shared" si="2"/>
        <v>17.647058823529413</v>
      </c>
      <c r="L21" s="62">
        <f t="shared" si="2"/>
        <v>11.76470588235294</v>
      </c>
      <c r="M21" s="62">
        <f t="shared" si="2"/>
        <v>0</v>
      </c>
      <c r="N21" s="62">
        <f t="shared" si="2"/>
        <v>11.76470588235294</v>
      </c>
      <c r="O21" s="62">
        <f t="shared" si="2"/>
        <v>11.76470588235294</v>
      </c>
      <c r="P21" s="62">
        <f t="shared" si="2"/>
        <v>11.76470588235294</v>
      </c>
      <c r="Q21" s="62">
        <f t="shared" si="2"/>
        <v>5.8823529411764701</v>
      </c>
      <c r="R21" s="63"/>
      <c r="S21" s="63"/>
      <c r="T21" s="64"/>
    </row>
    <row r="22" spans="2:23" s="249" customFormat="1" ht="15" customHeight="1">
      <c r="B22" s="58" t="s">
        <v>37</v>
      </c>
      <c r="C22" s="65"/>
      <c r="D22" s="60"/>
      <c r="E22" s="61"/>
      <c r="F22" s="62">
        <f>SUM($F$21:F21)</f>
        <v>11.76470588235294</v>
      </c>
      <c r="G22" s="62">
        <f>SUM($F$21:G21)</f>
        <v>11.76470588235294</v>
      </c>
      <c r="H22" s="62">
        <f>SUM($F$21:H21)</f>
        <v>17.647058823529409</v>
      </c>
      <c r="I22" s="62">
        <f>SUM($F$21:I21)</f>
        <v>23.52941176470588</v>
      </c>
      <c r="J22" s="62">
        <f>SUM($F$21:J21)</f>
        <v>29.411764705882351</v>
      </c>
      <c r="K22" s="62">
        <f>SUM($F$21:K21)</f>
        <v>47.058823529411768</v>
      </c>
      <c r="L22" s="62">
        <f>SUM($F$21:L21)</f>
        <v>58.82352941176471</v>
      </c>
      <c r="M22" s="62">
        <f>SUM($F$21:M21)</f>
        <v>58.82352941176471</v>
      </c>
      <c r="N22" s="62">
        <f>SUM($F$21:N21)</f>
        <v>70.588235294117652</v>
      </c>
      <c r="O22" s="62">
        <f>SUM($F$21:O21)</f>
        <v>82.352941176470594</v>
      </c>
      <c r="P22" s="62">
        <f>SUM($F$21:P21)</f>
        <v>94.117647058823536</v>
      </c>
      <c r="Q22" s="62">
        <f>SUM($F$21:Q21)</f>
        <v>100</v>
      </c>
      <c r="R22" s="66"/>
      <c r="S22" s="66"/>
      <c r="T22" s="64"/>
    </row>
    <row r="23" spans="2:23" s="249" customFormat="1" ht="15" customHeight="1">
      <c r="B23" s="58" t="s">
        <v>38</v>
      </c>
      <c r="C23" s="65"/>
      <c r="D23" s="60"/>
      <c r="E23" s="61"/>
      <c r="F23" s="62">
        <f>F21*$T$20/100</f>
        <v>4.4542014561741334</v>
      </c>
      <c r="G23" s="62">
        <f t="shared" ref="G23:Q23" si="3">G21*$T$20/100</f>
        <v>0</v>
      </c>
      <c r="H23" s="62">
        <f t="shared" si="3"/>
        <v>2.2271007280870667</v>
      </c>
      <c r="I23" s="62">
        <f t="shared" si="3"/>
        <v>2.2271007280870667</v>
      </c>
      <c r="J23" s="62">
        <f t="shared" si="3"/>
        <v>2.2271007280870667</v>
      </c>
      <c r="K23" s="62">
        <f t="shared" si="3"/>
        <v>6.6813021842612024</v>
      </c>
      <c r="L23" s="62">
        <f t="shared" si="3"/>
        <v>4.4542014561741334</v>
      </c>
      <c r="M23" s="62">
        <f t="shared" si="3"/>
        <v>0</v>
      </c>
      <c r="N23" s="62">
        <f t="shared" si="3"/>
        <v>4.4542014561741334</v>
      </c>
      <c r="O23" s="62">
        <f t="shared" si="3"/>
        <v>4.4542014561741334</v>
      </c>
      <c r="P23" s="62">
        <f t="shared" si="3"/>
        <v>4.4542014561741334</v>
      </c>
      <c r="Q23" s="62">
        <f t="shared" si="3"/>
        <v>2.2271007280870667</v>
      </c>
      <c r="R23" s="66"/>
      <c r="S23" s="66"/>
      <c r="T23" s="64"/>
    </row>
    <row r="24" spans="2:23" s="249" customFormat="1" ht="20.25" customHeight="1">
      <c r="B24" s="67"/>
      <c r="C24" s="65"/>
      <c r="D24" s="60"/>
      <c r="E24" s="61"/>
      <c r="F24" s="68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6"/>
      <c r="S24" s="66"/>
      <c r="T24" s="64"/>
    </row>
    <row r="25" spans="2:23" s="266" customFormat="1" ht="24.75" customHeight="1" thickBot="1">
      <c r="B25" s="265" t="s">
        <v>41</v>
      </c>
      <c r="C25" s="71"/>
      <c r="D25" s="72"/>
      <c r="E25" s="73"/>
      <c r="F25" s="74">
        <f>F18+F23</f>
        <v>25.167297330347413</v>
      </c>
      <c r="G25" s="74">
        <f t="shared" ref="G25:Q25" si="4">G18+G23</f>
        <v>0</v>
      </c>
      <c r="H25" s="74">
        <f t="shared" si="4"/>
        <v>2.2271007280870667</v>
      </c>
      <c r="I25" s="74">
        <f t="shared" si="4"/>
        <v>22.940196602260347</v>
      </c>
      <c r="J25" s="74">
        <f t="shared" si="4"/>
        <v>2.2271007280870667</v>
      </c>
      <c r="K25" s="74">
        <f t="shared" si="4"/>
        <v>6.6813021842612024</v>
      </c>
      <c r="L25" s="74">
        <f t="shared" si="4"/>
        <v>4.4542014561741334</v>
      </c>
      <c r="M25" s="74">
        <f t="shared" si="4"/>
        <v>20.71309587417328</v>
      </c>
      <c r="N25" s="74">
        <f t="shared" si="4"/>
        <v>4.4542014561741334</v>
      </c>
      <c r="O25" s="74">
        <f t="shared" si="4"/>
        <v>4.4542014561741334</v>
      </c>
      <c r="P25" s="74">
        <f t="shared" si="4"/>
        <v>4.4542014561741334</v>
      </c>
      <c r="Q25" s="74">
        <f t="shared" si="4"/>
        <v>2.2271007280870667</v>
      </c>
      <c r="R25" s="75"/>
      <c r="S25" s="75"/>
      <c r="T25" s="76"/>
    </row>
    <row r="26" spans="2:23" s="266" customFormat="1" ht="27.75" customHeight="1" thickTop="1" thickBot="1">
      <c r="B26" s="267" t="s">
        <v>42</v>
      </c>
      <c r="C26" s="79"/>
      <c r="D26" s="79"/>
      <c r="E26" s="80"/>
      <c r="F26" s="81">
        <f>SUM(F25)</f>
        <v>25.167297330347413</v>
      </c>
      <c r="G26" s="81">
        <f>SUM(F25:G25)</f>
        <v>25.167297330347413</v>
      </c>
      <c r="H26" s="81">
        <f>SUM(F25:H25)</f>
        <v>27.394398058434479</v>
      </c>
      <c r="I26" s="81">
        <f>SUM(F25:I25)</f>
        <v>50.334594660694826</v>
      </c>
      <c r="J26" s="81">
        <f>SUM(F25:J25)</f>
        <v>52.561695388781892</v>
      </c>
      <c r="K26" s="81">
        <f>SUM(F25:K25)</f>
        <v>59.242997573043098</v>
      </c>
      <c r="L26" s="81">
        <f>SUM(F25:L25)</f>
        <v>63.697199029217231</v>
      </c>
      <c r="M26" s="81">
        <f>SUM(F25:M25)</f>
        <v>84.410294903390508</v>
      </c>
      <c r="N26" s="81">
        <f>SUM(F25:N25)</f>
        <v>88.86449635956464</v>
      </c>
      <c r="O26" s="81">
        <f>SUM(F25:O25)</f>
        <v>93.318697815738773</v>
      </c>
      <c r="P26" s="81">
        <f>SUM(F25:P25)</f>
        <v>97.772899271912905</v>
      </c>
      <c r="Q26" s="81">
        <f>SUM(F25:Q25)</f>
        <v>99.999999999999972</v>
      </c>
      <c r="R26" s="80"/>
      <c r="S26" s="80"/>
      <c r="T26" s="82"/>
    </row>
    <row r="27" spans="2:23" ht="6.75" customHeight="1">
      <c r="B27" s="83"/>
      <c r="C27" s="84"/>
      <c r="D27" s="84"/>
      <c r="E27" s="84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6"/>
      <c r="R27" s="84"/>
      <c r="S27" s="84"/>
      <c r="T27" s="87"/>
    </row>
    <row r="28" spans="2:23" s="249" customFormat="1" ht="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9" t="s">
        <v>43</v>
      </c>
    </row>
    <row r="29" spans="2:23" s="249" customFormat="1" ht="13.5" customHeight="1">
      <c r="C29" s="90" t="s">
        <v>44</v>
      </c>
      <c r="D29" s="90"/>
      <c r="E29" s="90"/>
      <c r="F29" s="90"/>
      <c r="G29" s="90"/>
      <c r="H29" s="90"/>
      <c r="I29" s="90"/>
      <c r="J29" s="90"/>
      <c r="K29" s="90"/>
      <c r="L29" s="90"/>
      <c r="M29" s="90" t="s">
        <v>60</v>
      </c>
      <c r="N29" s="90"/>
      <c r="O29" s="90"/>
      <c r="P29" s="90"/>
      <c r="Q29" s="90"/>
      <c r="R29" s="88"/>
      <c r="T29" s="90"/>
    </row>
    <row r="30" spans="2:23" s="249" customFormat="1" ht="15">
      <c r="C30" s="90" t="s">
        <v>56</v>
      </c>
      <c r="D30" s="90"/>
      <c r="E30" s="90"/>
      <c r="F30" s="90"/>
      <c r="G30" s="90"/>
      <c r="H30" s="90"/>
      <c r="I30" s="90"/>
      <c r="J30" s="90"/>
      <c r="K30" s="92"/>
      <c r="L30" s="90"/>
      <c r="M30" s="90"/>
      <c r="N30" s="90"/>
      <c r="O30" s="90"/>
      <c r="P30" s="90"/>
      <c r="Q30" s="90" t="s">
        <v>46</v>
      </c>
    </row>
    <row r="31" spans="2:23" s="249" customFormat="1" ht="9.75" customHeight="1"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88"/>
      <c r="T31" s="90"/>
    </row>
    <row r="32" spans="2:23" s="249" customFormat="1" ht="9" customHeight="1"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88"/>
      <c r="T32" s="90"/>
    </row>
    <row r="33" spans="2:20" s="249" customFormat="1" ht="9.75" customHeight="1"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88"/>
      <c r="T33" s="90"/>
    </row>
    <row r="34" spans="2:20" s="249" customFormat="1" ht="15">
      <c r="C34" s="94" t="s">
        <v>47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 t="s">
        <v>57</v>
      </c>
    </row>
    <row r="35" spans="2:20" s="249" customFormat="1" ht="15">
      <c r="C35" s="90" t="s">
        <v>49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 t="s">
        <v>50</v>
      </c>
    </row>
    <row r="36" spans="2:20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95"/>
      <c r="S36" s="95"/>
      <c r="T36" s="8"/>
    </row>
  </sheetData>
  <mergeCells count="16">
    <mergeCell ref="I9:K9"/>
    <mergeCell ref="L9:N9"/>
    <mergeCell ref="O9:Q9"/>
    <mergeCell ref="T9:T10"/>
    <mergeCell ref="C12:D12"/>
    <mergeCell ref="C25:D25"/>
    <mergeCell ref="B1:T1"/>
    <mergeCell ref="B2:T2"/>
    <mergeCell ref="D6:F6"/>
    <mergeCell ref="B8:B11"/>
    <mergeCell ref="C8:D11"/>
    <mergeCell ref="E8:E11"/>
    <mergeCell ref="F8:Q8"/>
    <mergeCell ref="R8:R10"/>
    <mergeCell ref="S8:S10"/>
    <mergeCell ref="F9:H9"/>
  </mergeCells>
  <printOptions horizontalCentered="1"/>
  <pageMargins left="0.19685039370078741" right="0.27559055118110237" top="0.23622047244094491" bottom="0.23622047244094491" header="0.19685039370078741" footer="0.11811023622047245"/>
  <pageSetup paperSize="256" scale="95" fitToHeight="3" orientation="landscape" blackAndWhite="1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31"/>
  <sheetViews>
    <sheetView workbookViewId="0">
      <selection activeCell="H18" sqref="H18"/>
    </sheetView>
  </sheetViews>
  <sheetFormatPr defaultRowHeight="12.75"/>
  <cols>
    <col min="1" max="1" width="0.5703125" style="9" customWidth="1"/>
    <col min="2" max="2" width="30.42578125" style="9" customWidth="1"/>
    <col min="3" max="3" width="5.7109375" style="9" customWidth="1"/>
    <col min="4" max="4" width="4.42578125" style="9" customWidth="1"/>
    <col min="5" max="5" width="7.85546875" style="9" customWidth="1"/>
    <col min="6" max="6" width="6" style="9" customWidth="1"/>
    <col min="7" max="7" width="6.42578125" style="9" customWidth="1"/>
    <col min="8" max="8" width="7.5703125" style="9" customWidth="1"/>
    <col min="9" max="10" width="7.42578125" style="9" bestFit="1" customWidth="1"/>
    <col min="11" max="11" width="7" style="9" customWidth="1"/>
    <col min="12" max="12" width="8" style="9" bestFit="1" customWidth="1"/>
    <col min="13" max="13" width="7.28515625" style="9" customWidth="1"/>
    <col min="14" max="14" width="8.140625" style="9" customWidth="1"/>
    <col min="15" max="15" width="8" style="9" bestFit="1" customWidth="1"/>
    <col min="16" max="16" width="7.7109375" style="9" customWidth="1"/>
    <col min="17" max="17" width="8.42578125" style="9" customWidth="1"/>
    <col min="18" max="18" width="12.140625" style="9" customWidth="1"/>
    <col min="19" max="19" width="8.28515625" style="9" customWidth="1"/>
    <col min="20" max="20" width="9.28515625" style="9" customWidth="1"/>
    <col min="21" max="16384" width="9.140625" style="9"/>
  </cols>
  <sheetData>
    <row r="1" spans="2:20" s="2" customFormat="1" ht="15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s="2" customFormat="1" ht="15.7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s="4" customFormat="1" ht="16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s="4" customFormat="1">
      <c r="B4" s="3" t="s">
        <v>2</v>
      </c>
      <c r="C4" s="5" t="s">
        <v>3</v>
      </c>
      <c r="D4" s="3" t="s">
        <v>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T4" s="3"/>
    </row>
    <row r="5" spans="2:20" s="4" customFormat="1">
      <c r="B5" s="3" t="s">
        <v>5</v>
      </c>
      <c r="C5" s="5" t="s">
        <v>3</v>
      </c>
      <c r="D5" s="3" t="s">
        <v>113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T5" s="3"/>
    </row>
    <row r="6" spans="2:20" s="4" customFormat="1">
      <c r="B6" s="3" t="s">
        <v>7</v>
      </c>
      <c r="C6" s="6" t="s">
        <v>3</v>
      </c>
      <c r="D6" s="7">
        <f>SUM(R14)</f>
        <v>27933000</v>
      </c>
      <c r="E6" s="7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0" ht="12.75" customHeight="1" thickBo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2:20" s="4" customFormat="1" ht="18.75" customHeight="1">
      <c r="B8" s="10" t="s">
        <v>8</v>
      </c>
      <c r="C8" s="11" t="s">
        <v>9</v>
      </c>
      <c r="D8" s="12"/>
      <c r="E8" s="13" t="s">
        <v>10</v>
      </c>
      <c r="F8" s="14" t="s">
        <v>11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3" t="s">
        <v>7</v>
      </c>
      <c r="S8" s="13" t="s">
        <v>12</v>
      </c>
      <c r="T8" s="17" t="s">
        <v>13</v>
      </c>
    </row>
    <row r="9" spans="2:20" s="4" customFormat="1">
      <c r="B9" s="18"/>
      <c r="C9" s="19"/>
      <c r="D9" s="20"/>
      <c r="E9" s="21"/>
      <c r="F9" s="22" t="s">
        <v>14</v>
      </c>
      <c r="G9" s="23"/>
      <c r="H9" s="24"/>
      <c r="I9" s="22" t="s">
        <v>15</v>
      </c>
      <c r="J9" s="23"/>
      <c r="K9" s="24"/>
      <c r="L9" s="22" t="s">
        <v>16</v>
      </c>
      <c r="M9" s="23"/>
      <c r="N9" s="24"/>
      <c r="O9" s="22" t="s">
        <v>17</v>
      </c>
      <c r="P9" s="23"/>
      <c r="Q9" s="24"/>
      <c r="R9" s="21"/>
      <c r="S9" s="21"/>
      <c r="T9" s="25" t="s">
        <v>18</v>
      </c>
    </row>
    <row r="10" spans="2:20" s="4" customFormat="1">
      <c r="B10" s="18"/>
      <c r="C10" s="19"/>
      <c r="D10" s="20"/>
      <c r="E10" s="21"/>
      <c r="F10" s="26" t="s">
        <v>19</v>
      </c>
      <c r="G10" s="26" t="s">
        <v>20</v>
      </c>
      <c r="H10" s="26" t="s">
        <v>21</v>
      </c>
      <c r="I10" s="26" t="s">
        <v>22</v>
      </c>
      <c r="J10" s="26" t="s">
        <v>23</v>
      </c>
      <c r="K10" s="26" t="s">
        <v>24</v>
      </c>
      <c r="L10" s="26" t="s">
        <v>25</v>
      </c>
      <c r="M10" s="26" t="s">
        <v>26</v>
      </c>
      <c r="N10" s="26" t="s">
        <v>27</v>
      </c>
      <c r="O10" s="26" t="s">
        <v>28</v>
      </c>
      <c r="P10" s="26" t="s">
        <v>29</v>
      </c>
      <c r="Q10" s="26" t="s">
        <v>30</v>
      </c>
      <c r="R10" s="21"/>
      <c r="S10" s="21"/>
      <c r="T10" s="25"/>
    </row>
    <row r="11" spans="2:20" s="4" customFormat="1" ht="9" customHeight="1">
      <c r="B11" s="27"/>
      <c r="C11" s="28"/>
      <c r="D11" s="29"/>
      <c r="E11" s="30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31" t="s">
        <v>31</v>
      </c>
      <c r="S11" s="31" t="s">
        <v>31</v>
      </c>
      <c r="T11" s="32" t="s">
        <v>32</v>
      </c>
    </row>
    <row r="12" spans="2:20" s="39" customFormat="1" ht="12" customHeight="1">
      <c r="B12" s="33">
        <v>1</v>
      </c>
      <c r="C12" s="34">
        <v>2</v>
      </c>
      <c r="D12" s="35"/>
      <c r="E12" s="36">
        <v>3</v>
      </c>
      <c r="F12" s="36">
        <v>4</v>
      </c>
      <c r="G12" s="36">
        <v>5</v>
      </c>
      <c r="H12" s="36">
        <v>6</v>
      </c>
      <c r="I12" s="36">
        <v>7</v>
      </c>
      <c r="J12" s="36">
        <v>8</v>
      </c>
      <c r="K12" s="36">
        <v>9</v>
      </c>
      <c r="L12" s="36">
        <v>10</v>
      </c>
      <c r="M12" s="36">
        <v>11</v>
      </c>
      <c r="N12" s="36">
        <v>12</v>
      </c>
      <c r="O12" s="36">
        <v>13</v>
      </c>
      <c r="P12" s="36">
        <v>14</v>
      </c>
      <c r="Q12" s="36">
        <v>15</v>
      </c>
      <c r="R12" s="37">
        <v>16</v>
      </c>
      <c r="S12" s="37">
        <v>17</v>
      </c>
      <c r="T12" s="38">
        <v>18</v>
      </c>
    </row>
    <row r="13" spans="2:20" s="4" customFormat="1" ht="11.25" customHeight="1">
      <c r="B13" s="40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  <c r="S13" s="43"/>
      <c r="T13" s="44"/>
    </row>
    <row r="14" spans="2:20" s="4" customFormat="1" ht="31.5" customHeight="1">
      <c r="B14" s="45" t="str">
        <f>D5</f>
        <v>Bimbingan Teknis dan Diklat Peningkatan Kapasitas Aparatur</v>
      </c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8">
        <f>R15</f>
        <v>27933000</v>
      </c>
      <c r="S14" s="48"/>
      <c r="T14" s="49">
        <v>100</v>
      </c>
    </row>
    <row r="15" spans="2:20" s="4" customFormat="1" ht="17.25" customHeight="1">
      <c r="B15" s="50" t="s">
        <v>114</v>
      </c>
      <c r="C15" s="51">
        <v>2</v>
      </c>
      <c r="D15" s="52" t="s">
        <v>73</v>
      </c>
      <c r="E15" s="53" t="s">
        <v>35</v>
      </c>
      <c r="F15" s="54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1</v>
      </c>
      <c r="M15" s="55">
        <v>0</v>
      </c>
      <c r="N15" s="55">
        <v>1</v>
      </c>
      <c r="O15" s="55">
        <v>0</v>
      </c>
      <c r="P15" s="55">
        <v>0</v>
      </c>
      <c r="Q15" s="55">
        <v>0</v>
      </c>
      <c r="R15" s="56">
        <v>27933000</v>
      </c>
      <c r="S15" s="56"/>
      <c r="T15" s="57">
        <v>100</v>
      </c>
    </row>
    <row r="16" spans="2:20" s="4" customFormat="1" ht="15" customHeight="1">
      <c r="B16" s="58" t="s">
        <v>36</v>
      </c>
      <c r="C16" s="59"/>
      <c r="D16" s="60"/>
      <c r="E16" s="61"/>
      <c r="F16" s="62">
        <v>0</v>
      </c>
      <c r="G16" s="62">
        <f>G15/$C$15*100</f>
        <v>0</v>
      </c>
      <c r="H16" s="62">
        <f t="shared" ref="H16:Q16" si="0">H15/$C$15*100</f>
        <v>0</v>
      </c>
      <c r="I16" s="62">
        <f t="shared" si="0"/>
        <v>0</v>
      </c>
      <c r="J16" s="62">
        <f t="shared" si="0"/>
        <v>0</v>
      </c>
      <c r="K16" s="62">
        <f t="shared" si="0"/>
        <v>0</v>
      </c>
      <c r="L16" s="62">
        <f t="shared" si="0"/>
        <v>50</v>
      </c>
      <c r="M16" s="62">
        <f t="shared" si="0"/>
        <v>0</v>
      </c>
      <c r="N16" s="62">
        <f t="shared" si="0"/>
        <v>50</v>
      </c>
      <c r="O16" s="62">
        <f t="shared" si="0"/>
        <v>0</v>
      </c>
      <c r="P16" s="62">
        <f t="shared" si="0"/>
        <v>0</v>
      </c>
      <c r="Q16" s="62">
        <f t="shared" si="0"/>
        <v>0</v>
      </c>
      <c r="R16" s="63"/>
      <c r="S16" s="63"/>
      <c r="T16" s="64"/>
    </row>
    <row r="17" spans="2:20" s="4" customFormat="1" ht="15" customHeight="1">
      <c r="B17" s="58" t="s">
        <v>37</v>
      </c>
      <c r="C17" s="65"/>
      <c r="D17" s="60"/>
      <c r="E17" s="61"/>
      <c r="F17" s="62">
        <f>SUM($F$16:F16)</f>
        <v>0</v>
      </c>
      <c r="G17" s="62">
        <f>SUM($F$16:G16)</f>
        <v>0</v>
      </c>
      <c r="H17" s="62">
        <f>SUM($F$16:H16)</f>
        <v>0</v>
      </c>
      <c r="I17" s="62">
        <f>SUM($F$16:I16)</f>
        <v>0</v>
      </c>
      <c r="J17" s="62">
        <f>SUM($F$16:J16)</f>
        <v>0</v>
      </c>
      <c r="K17" s="62">
        <f>SUM($F$16:K16)</f>
        <v>0</v>
      </c>
      <c r="L17" s="62">
        <f>SUM($F$16:L16)</f>
        <v>50</v>
      </c>
      <c r="M17" s="62">
        <f>SUM($F$16:M16)</f>
        <v>50</v>
      </c>
      <c r="N17" s="62">
        <f>SUM($F$16:N16)</f>
        <v>100</v>
      </c>
      <c r="O17" s="62">
        <f>SUM($F$16:O16)</f>
        <v>100</v>
      </c>
      <c r="P17" s="62">
        <f>SUM($F$16:P16)</f>
        <v>100</v>
      </c>
      <c r="Q17" s="62">
        <f>SUM($F$16:Q16)</f>
        <v>100</v>
      </c>
      <c r="R17" s="66"/>
      <c r="S17" s="66"/>
      <c r="T17" s="64"/>
    </row>
    <row r="18" spans="2:20" s="4" customFormat="1" ht="15" customHeight="1">
      <c r="B18" s="58" t="s">
        <v>38</v>
      </c>
      <c r="C18" s="65"/>
      <c r="D18" s="60"/>
      <c r="E18" s="61"/>
      <c r="F18" s="62">
        <f>F16*$T$15/100</f>
        <v>0</v>
      </c>
      <c r="G18" s="62">
        <f>G16*$T$15/100</f>
        <v>0</v>
      </c>
      <c r="H18" s="62">
        <f t="shared" ref="H18:P18" si="1">H16*$T$15/100</f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  <c r="L18" s="62">
        <f t="shared" si="1"/>
        <v>50</v>
      </c>
      <c r="M18" s="62">
        <f t="shared" si="1"/>
        <v>0</v>
      </c>
      <c r="N18" s="62">
        <f t="shared" si="1"/>
        <v>50</v>
      </c>
      <c r="O18" s="62">
        <f t="shared" si="1"/>
        <v>0</v>
      </c>
      <c r="P18" s="62">
        <f t="shared" si="1"/>
        <v>0</v>
      </c>
      <c r="Q18" s="62">
        <f>Q16*$T$15/100</f>
        <v>0</v>
      </c>
      <c r="R18" s="66"/>
      <c r="S18" s="66"/>
      <c r="T18" s="64"/>
    </row>
    <row r="19" spans="2:20" s="4" customFormat="1" ht="20.25" customHeight="1">
      <c r="B19" s="67"/>
      <c r="C19" s="65"/>
      <c r="D19" s="60"/>
      <c r="E19" s="61"/>
      <c r="F19" s="68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6"/>
      <c r="S19" s="66"/>
      <c r="T19" s="64"/>
    </row>
    <row r="20" spans="2:20" s="77" customFormat="1" ht="18" customHeight="1" thickBot="1">
      <c r="B20" s="70" t="s">
        <v>41</v>
      </c>
      <c r="C20" s="71"/>
      <c r="D20" s="72"/>
      <c r="E20" s="73"/>
      <c r="F20" s="74">
        <f>F18</f>
        <v>0</v>
      </c>
      <c r="G20" s="74">
        <f t="shared" ref="G20:Q20" si="2">G18</f>
        <v>0</v>
      </c>
      <c r="H20" s="74">
        <f t="shared" si="2"/>
        <v>0</v>
      </c>
      <c r="I20" s="74">
        <f t="shared" si="2"/>
        <v>0</v>
      </c>
      <c r="J20" s="74">
        <f t="shared" si="2"/>
        <v>0</v>
      </c>
      <c r="K20" s="74">
        <f t="shared" si="2"/>
        <v>0</v>
      </c>
      <c r="L20" s="74">
        <f t="shared" si="2"/>
        <v>50</v>
      </c>
      <c r="M20" s="74">
        <f t="shared" si="2"/>
        <v>0</v>
      </c>
      <c r="N20" s="74">
        <f t="shared" si="2"/>
        <v>50</v>
      </c>
      <c r="O20" s="74">
        <f t="shared" si="2"/>
        <v>0</v>
      </c>
      <c r="P20" s="74">
        <f t="shared" si="2"/>
        <v>0</v>
      </c>
      <c r="Q20" s="74">
        <f t="shared" si="2"/>
        <v>0</v>
      </c>
      <c r="R20" s="75"/>
      <c r="S20" s="75"/>
      <c r="T20" s="76"/>
    </row>
    <row r="21" spans="2:20" s="77" customFormat="1" ht="18" customHeight="1" thickTop="1" thickBot="1">
      <c r="B21" s="78" t="s">
        <v>42</v>
      </c>
      <c r="C21" s="79"/>
      <c r="D21" s="79"/>
      <c r="E21" s="80"/>
      <c r="F21" s="81">
        <f>SUM(F20)</f>
        <v>0</v>
      </c>
      <c r="G21" s="81">
        <f>SUM(F20:G20)</f>
        <v>0</v>
      </c>
      <c r="H21" s="81">
        <f>SUM(F20:H20)</f>
        <v>0</v>
      </c>
      <c r="I21" s="81">
        <f>SUM(F20:I20)</f>
        <v>0</v>
      </c>
      <c r="J21" s="81">
        <f>SUM(F20:J20)</f>
        <v>0</v>
      </c>
      <c r="K21" s="81">
        <f>SUM(F20:K20)</f>
        <v>0</v>
      </c>
      <c r="L21" s="81">
        <f>SUM(F20:L20)</f>
        <v>50</v>
      </c>
      <c r="M21" s="81">
        <f>SUM(F20:M20)</f>
        <v>50</v>
      </c>
      <c r="N21" s="81">
        <f>SUM(F20:N20)</f>
        <v>100</v>
      </c>
      <c r="O21" s="81">
        <f>SUM(F20:O20)</f>
        <v>100</v>
      </c>
      <c r="P21" s="81">
        <f>SUM(F20:P20)</f>
        <v>100</v>
      </c>
      <c r="Q21" s="81">
        <f>SUM(F20:Q20)</f>
        <v>100</v>
      </c>
      <c r="R21" s="80"/>
      <c r="S21" s="80"/>
      <c r="T21" s="82"/>
    </row>
    <row r="22" spans="2:20" ht="6.75" customHeight="1">
      <c r="B22" s="83"/>
      <c r="C22" s="84"/>
      <c r="D22" s="84"/>
      <c r="E22" s="84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6"/>
      <c r="R22" s="84"/>
      <c r="S22" s="84"/>
      <c r="T22" s="87"/>
    </row>
    <row r="23" spans="2:20" s="4" customFormat="1" ht="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9" t="s">
        <v>43</v>
      </c>
    </row>
    <row r="24" spans="2:20" s="4" customFormat="1" ht="13.5" customHeight="1">
      <c r="C24" s="90" t="s">
        <v>44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88"/>
      <c r="T24" s="90"/>
    </row>
    <row r="25" spans="2:20" s="4" customFormat="1" ht="15">
      <c r="C25" s="90" t="s">
        <v>56</v>
      </c>
      <c r="D25" s="90"/>
      <c r="E25" s="90"/>
      <c r="F25" s="90"/>
      <c r="G25" s="90"/>
      <c r="H25" s="90"/>
      <c r="I25" s="90"/>
      <c r="J25" s="90"/>
      <c r="K25" s="92"/>
      <c r="L25" s="90"/>
      <c r="M25" s="90"/>
      <c r="N25" s="90"/>
      <c r="O25" s="90"/>
      <c r="P25" s="90"/>
      <c r="Q25" s="90" t="s">
        <v>46</v>
      </c>
    </row>
    <row r="26" spans="2:20" s="4" customFormat="1" ht="9.75" customHeight="1"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88"/>
      <c r="T26" s="90"/>
    </row>
    <row r="27" spans="2:20" s="4" customFormat="1" ht="9" customHeight="1"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88"/>
      <c r="T27" s="90"/>
    </row>
    <row r="28" spans="2:20" s="4" customFormat="1" ht="9.75" customHeight="1"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88"/>
      <c r="T28" s="90"/>
    </row>
    <row r="29" spans="2:20" s="4" customFormat="1" ht="15">
      <c r="C29" s="94" t="s">
        <v>47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 t="s">
        <v>57</v>
      </c>
    </row>
    <row r="30" spans="2:20" s="4" customFormat="1" ht="15">
      <c r="C30" s="90" t="s">
        <v>49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 t="s">
        <v>50</v>
      </c>
    </row>
    <row r="31" spans="2:20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5"/>
      <c r="S31" s="95"/>
      <c r="T31" s="8"/>
    </row>
  </sheetData>
  <mergeCells count="16">
    <mergeCell ref="I9:K9"/>
    <mergeCell ref="L9:N9"/>
    <mergeCell ref="O9:Q9"/>
    <mergeCell ref="T9:T10"/>
    <mergeCell ref="C12:D12"/>
    <mergeCell ref="C20:D20"/>
    <mergeCell ref="B1:T1"/>
    <mergeCell ref="B2:T2"/>
    <mergeCell ref="D6:F6"/>
    <mergeCell ref="B8:B11"/>
    <mergeCell ref="C8:D11"/>
    <mergeCell ref="E8:E11"/>
    <mergeCell ref="F8:Q8"/>
    <mergeCell ref="R8:R10"/>
    <mergeCell ref="S8:S10"/>
    <mergeCell ref="F9:H9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94"/>
  <sheetViews>
    <sheetView zoomScale="55" zoomScaleNormal="55" workbookViewId="0">
      <selection activeCell="N45" sqref="N45"/>
    </sheetView>
  </sheetViews>
  <sheetFormatPr defaultRowHeight="12.75"/>
  <cols>
    <col min="1" max="1" width="0.5703125" style="439" customWidth="1"/>
    <col min="2" max="2" width="45" style="439" customWidth="1"/>
    <col min="3" max="3" width="6.85546875" style="439" customWidth="1"/>
    <col min="4" max="4" width="8" style="439" customWidth="1"/>
    <col min="5" max="5" width="9.140625" style="439"/>
    <col min="6" max="6" width="7.28515625" style="439" customWidth="1"/>
    <col min="7" max="7" width="7.85546875" style="439" customWidth="1"/>
    <col min="8" max="8" width="8.42578125" style="439" customWidth="1"/>
    <col min="9" max="9" width="7.85546875" style="439" customWidth="1"/>
    <col min="10" max="10" width="8.140625" style="439" customWidth="1"/>
    <col min="11" max="11" width="7.85546875" style="439" customWidth="1"/>
    <col min="12" max="12" width="7.5703125" style="439" customWidth="1"/>
    <col min="13" max="13" width="8.5703125" style="439" customWidth="1"/>
    <col min="14" max="14" width="9.140625" style="439" customWidth="1"/>
    <col min="15" max="15" width="7.5703125" style="439" customWidth="1"/>
    <col min="16" max="17" width="8.5703125" style="439" customWidth="1"/>
    <col min="18" max="18" width="15.7109375" style="439" customWidth="1"/>
    <col min="19" max="19" width="10.7109375" style="439" customWidth="1"/>
    <col min="20" max="20" width="10.5703125" style="439" customWidth="1"/>
    <col min="21" max="28" width="0" style="439" hidden="1" customWidth="1"/>
    <col min="29" max="29" width="9.140625" style="439"/>
    <col min="30" max="30" width="19.42578125" style="439" customWidth="1"/>
    <col min="31" max="31" width="14.5703125" style="439" customWidth="1"/>
    <col min="32" max="32" width="19.85546875" style="439" customWidth="1"/>
    <col min="33" max="33" width="24.5703125" style="439" customWidth="1"/>
    <col min="34" max="256" width="9.140625" style="439"/>
    <col min="257" max="257" width="0.5703125" style="439" customWidth="1"/>
    <col min="258" max="258" width="47.5703125" style="439" customWidth="1"/>
    <col min="259" max="259" width="6.85546875" style="439" customWidth="1"/>
    <col min="260" max="260" width="8" style="439" customWidth="1"/>
    <col min="261" max="261" width="9.140625" style="439"/>
    <col min="262" max="262" width="7.28515625" style="439" customWidth="1"/>
    <col min="263" max="263" width="8.85546875" style="439" customWidth="1"/>
    <col min="264" max="264" width="10.5703125" style="439" customWidth="1"/>
    <col min="265" max="265" width="10.42578125" style="439" customWidth="1"/>
    <col min="266" max="266" width="9.140625" style="439" customWidth="1"/>
    <col min="267" max="267" width="11.42578125" style="439" customWidth="1"/>
    <col min="268" max="269" width="10.140625" style="439" customWidth="1"/>
    <col min="270" max="270" width="11.5703125" style="439" customWidth="1"/>
    <col min="271" max="271" width="10.28515625" style="439" customWidth="1"/>
    <col min="272" max="272" width="11.42578125" style="439" customWidth="1"/>
    <col min="273" max="273" width="10.7109375" style="439" customWidth="1"/>
    <col min="274" max="274" width="18.5703125" style="439" customWidth="1"/>
    <col min="275" max="275" width="7.85546875" style="439" customWidth="1"/>
    <col min="276" max="276" width="14.85546875" style="439" customWidth="1"/>
    <col min="277" max="284" width="0" style="439" hidden="1" customWidth="1"/>
    <col min="285" max="512" width="9.140625" style="439"/>
    <col min="513" max="513" width="0.5703125" style="439" customWidth="1"/>
    <col min="514" max="514" width="47.5703125" style="439" customWidth="1"/>
    <col min="515" max="515" width="6.85546875" style="439" customWidth="1"/>
    <col min="516" max="516" width="8" style="439" customWidth="1"/>
    <col min="517" max="517" width="9.140625" style="439"/>
    <col min="518" max="518" width="7.28515625" style="439" customWidth="1"/>
    <col min="519" max="519" width="8.85546875" style="439" customWidth="1"/>
    <col min="520" max="520" width="10.5703125" style="439" customWidth="1"/>
    <col min="521" max="521" width="10.42578125" style="439" customWidth="1"/>
    <col min="522" max="522" width="9.140625" style="439" customWidth="1"/>
    <col min="523" max="523" width="11.42578125" style="439" customWidth="1"/>
    <col min="524" max="525" width="10.140625" style="439" customWidth="1"/>
    <col min="526" max="526" width="11.5703125" style="439" customWidth="1"/>
    <col min="527" max="527" width="10.28515625" style="439" customWidth="1"/>
    <col min="528" max="528" width="11.42578125" style="439" customWidth="1"/>
    <col min="529" max="529" width="10.7109375" style="439" customWidth="1"/>
    <col min="530" max="530" width="18.5703125" style="439" customWidth="1"/>
    <col min="531" max="531" width="7.85546875" style="439" customWidth="1"/>
    <col min="532" max="532" width="14.85546875" style="439" customWidth="1"/>
    <col min="533" max="540" width="0" style="439" hidden="1" customWidth="1"/>
    <col min="541" max="768" width="9.140625" style="439"/>
    <col min="769" max="769" width="0.5703125" style="439" customWidth="1"/>
    <col min="770" max="770" width="47.5703125" style="439" customWidth="1"/>
    <col min="771" max="771" width="6.85546875" style="439" customWidth="1"/>
    <col min="772" max="772" width="8" style="439" customWidth="1"/>
    <col min="773" max="773" width="9.140625" style="439"/>
    <col min="774" max="774" width="7.28515625" style="439" customWidth="1"/>
    <col min="775" max="775" width="8.85546875" style="439" customWidth="1"/>
    <col min="776" max="776" width="10.5703125" style="439" customWidth="1"/>
    <col min="777" max="777" width="10.42578125" style="439" customWidth="1"/>
    <col min="778" max="778" width="9.140625" style="439" customWidth="1"/>
    <col min="779" max="779" width="11.42578125" style="439" customWidth="1"/>
    <col min="780" max="781" width="10.140625" style="439" customWidth="1"/>
    <col min="782" max="782" width="11.5703125" style="439" customWidth="1"/>
    <col min="783" max="783" width="10.28515625" style="439" customWidth="1"/>
    <col min="784" max="784" width="11.42578125" style="439" customWidth="1"/>
    <col min="785" max="785" width="10.7109375" style="439" customWidth="1"/>
    <col min="786" max="786" width="18.5703125" style="439" customWidth="1"/>
    <col min="787" max="787" width="7.85546875" style="439" customWidth="1"/>
    <col min="788" max="788" width="14.85546875" style="439" customWidth="1"/>
    <col min="789" max="796" width="0" style="439" hidden="1" customWidth="1"/>
    <col min="797" max="1024" width="9.140625" style="439"/>
    <col min="1025" max="1025" width="0.5703125" style="439" customWidth="1"/>
    <col min="1026" max="1026" width="47.5703125" style="439" customWidth="1"/>
    <col min="1027" max="1027" width="6.85546875" style="439" customWidth="1"/>
    <col min="1028" max="1028" width="8" style="439" customWidth="1"/>
    <col min="1029" max="1029" width="9.140625" style="439"/>
    <col min="1030" max="1030" width="7.28515625" style="439" customWidth="1"/>
    <col min="1031" max="1031" width="8.85546875" style="439" customWidth="1"/>
    <col min="1032" max="1032" width="10.5703125" style="439" customWidth="1"/>
    <col min="1033" max="1033" width="10.42578125" style="439" customWidth="1"/>
    <col min="1034" max="1034" width="9.140625" style="439" customWidth="1"/>
    <col min="1035" max="1035" width="11.42578125" style="439" customWidth="1"/>
    <col min="1036" max="1037" width="10.140625" style="439" customWidth="1"/>
    <col min="1038" max="1038" width="11.5703125" style="439" customWidth="1"/>
    <col min="1039" max="1039" width="10.28515625" style="439" customWidth="1"/>
    <col min="1040" max="1040" width="11.42578125" style="439" customWidth="1"/>
    <col min="1041" max="1041" width="10.7109375" style="439" customWidth="1"/>
    <col min="1042" max="1042" width="18.5703125" style="439" customWidth="1"/>
    <col min="1043" max="1043" width="7.85546875" style="439" customWidth="1"/>
    <col min="1044" max="1044" width="14.85546875" style="439" customWidth="1"/>
    <col min="1045" max="1052" width="0" style="439" hidden="1" customWidth="1"/>
    <col min="1053" max="1280" width="9.140625" style="439"/>
    <col min="1281" max="1281" width="0.5703125" style="439" customWidth="1"/>
    <col min="1282" max="1282" width="47.5703125" style="439" customWidth="1"/>
    <col min="1283" max="1283" width="6.85546875" style="439" customWidth="1"/>
    <col min="1284" max="1284" width="8" style="439" customWidth="1"/>
    <col min="1285" max="1285" width="9.140625" style="439"/>
    <col min="1286" max="1286" width="7.28515625" style="439" customWidth="1"/>
    <col min="1287" max="1287" width="8.85546875" style="439" customWidth="1"/>
    <col min="1288" max="1288" width="10.5703125" style="439" customWidth="1"/>
    <col min="1289" max="1289" width="10.42578125" style="439" customWidth="1"/>
    <col min="1290" max="1290" width="9.140625" style="439" customWidth="1"/>
    <col min="1291" max="1291" width="11.42578125" style="439" customWidth="1"/>
    <col min="1292" max="1293" width="10.140625" style="439" customWidth="1"/>
    <col min="1294" max="1294" width="11.5703125" style="439" customWidth="1"/>
    <col min="1295" max="1295" width="10.28515625" style="439" customWidth="1"/>
    <col min="1296" max="1296" width="11.42578125" style="439" customWidth="1"/>
    <col min="1297" max="1297" width="10.7109375" style="439" customWidth="1"/>
    <col min="1298" max="1298" width="18.5703125" style="439" customWidth="1"/>
    <col min="1299" max="1299" width="7.85546875" style="439" customWidth="1"/>
    <col min="1300" max="1300" width="14.85546875" style="439" customWidth="1"/>
    <col min="1301" max="1308" width="0" style="439" hidden="1" customWidth="1"/>
    <col min="1309" max="1536" width="9.140625" style="439"/>
    <col min="1537" max="1537" width="0.5703125" style="439" customWidth="1"/>
    <col min="1538" max="1538" width="47.5703125" style="439" customWidth="1"/>
    <col min="1539" max="1539" width="6.85546875" style="439" customWidth="1"/>
    <col min="1540" max="1540" width="8" style="439" customWidth="1"/>
    <col min="1541" max="1541" width="9.140625" style="439"/>
    <col min="1542" max="1542" width="7.28515625" style="439" customWidth="1"/>
    <col min="1543" max="1543" width="8.85546875" style="439" customWidth="1"/>
    <col min="1544" max="1544" width="10.5703125" style="439" customWidth="1"/>
    <col min="1545" max="1545" width="10.42578125" style="439" customWidth="1"/>
    <col min="1546" max="1546" width="9.140625" style="439" customWidth="1"/>
    <col min="1547" max="1547" width="11.42578125" style="439" customWidth="1"/>
    <col min="1548" max="1549" width="10.140625" style="439" customWidth="1"/>
    <col min="1550" max="1550" width="11.5703125" style="439" customWidth="1"/>
    <col min="1551" max="1551" width="10.28515625" style="439" customWidth="1"/>
    <col min="1552" max="1552" width="11.42578125" style="439" customWidth="1"/>
    <col min="1553" max="1553" width="10.7109375" style="439" customWidth="1"/>
    <col min="1554" max="1554" width="18.5703125" style="439" customWidth="1"/>
    <col min="1555" max="1555" width="7.85546875" style="439" customWidth="1"/>
    <col min="1556" max="1556" width="14.85546875" style="439" customWidth="1"/>
    <col min="1557" max="1564" width="0" style="439" hidden="1" customWidth="1"/>
    <col min="1565" max="1792" width="9.140625" style="439"/>
    <col min="1793" max="1793" width="0.5703125" style="439" customWidth="1"/>
    <col min="1794" max="1794" width="47.5703125" style="439" customWidth="1"/>
    <col min="1795" max="1795" width="6.85546875" style="439" customWidth="1"/>
    <col min="1796" max="1796" width="8" style="439" customWidth="1"/>
    <col min="1797" max="1797" width="9.140625" style="439"/>
    <col min="1798" max="1798" width="7.28515625" style="439" customWidth="1"/>
    <col min="1799" max="1799" width="8.85546875" style="439" customWidth="1"/>
    <col min="1800" max="1800" width="10.5703125" style="439" customWidth="1"/>
    <col min="1801" max="1801" width="10.42578125" style="439" customWidth="1"/>
    <col min="1802" max="1802" width="9.140625" style="439" customWidth="1"/>
    <col min="1803" max="1803" width="11.42578125" style="439" customWidth="1"/>
    <col min="1804" max="1805" width="10.140625" style="439" customWidth="1"/>
    <col min="1806" max="1806" width="11.5703125" style="439" customWidth="1"/>
    <col min="1807" max="1807" width="10.28515625" style="439" customWidth="1"/>
    <col min="1808" max="1808" width="11.42578125" style="439" customWidth="1"/>
    <col min="1809" max="1809" width="10.7109375" style="439" customWidth="1"/>
    <col min="1810" max="1810" width="18.5703125" style="439" customWidth="1"/>
    <col min="1811" max="1811" width="7.85546875" style="439" customWidth="1"/>
    <col min="1812" max="1812" width="14.85546875" style="439" customWidth="1"/>
    <col min="1813" max="1820" width="0" style="439" hidden="1" customWidth="1"/>
    <col min="1821" max="2048" width="9.140625" style="439"/>
    <col min="2049" max="2049" width="0.5703125" style="439" customWidth="1"/>
    <col min="2050" max="2050" width="47.5703125" style="439" customWidth="1"/>
    <col min="2051" max="2051" width="6.85546875" style="439" customWidth="1"/>
    <col min="2052" max="2052" width="8" style="439" customWidth="1"/>
    <col min="2053" max="2053" width="9.140625" style="439"/>
    <col min="2054" max="2054" width="7.28515625" style="439" customWidth="1"/>
    <col min="2055" max="2055" width="8.85546875" style="439" customWidth="1"/>
    <col min="2056" max="2056" width="10.5703125" style="439" customWidth="1"/>
    <col min="2057" max="2057" width="10.42578125" style="439" customWidth="1"/>
    <col min="2058" max="2058" width="9.140625" style="439" customWidth="1"/>
    <col min="2059" max="2059" width="11.42578125" style="439" customWidth="1"/>
    <col min="2060" max="2061" width="10.140625" style="439" customWidth="1"/>
    <col min="2062" max="2062" width="11.5703125" style="439" customWidth="1"/>
    <col min="2063" max="2063" width="10.28515625" style="439" customWidth="1"/>
    <col min="2064" max="2064" width="11.42578125" style="439" customWidth="1"/>
    <col min="2065" max="2065" width="10.7109375" style="439" customWidth="1"/>
    <col min="2066" max="2066" width="18.5703125" style="439" customWidth="1"/>
    <col min="2067" max="2067" width="7.85546875" style="439" customWidth="1"/>
    <col min="2068" max="2068" width="14.85546875" style="439" customWidth="1"/>
    <col min="2069" max="2076" width="0" style="439" hidden="1" customWidth="1"/>
    <col min="2077" max="2304" width="9.140625" style="439"/>
    <col min="2305" max="2305" width="0.5703125" style="439" customWidth="1"/>
    <col min="2306" max="2306" width="47.5703125" style="439" customWidth="1"/>
    <col min="2307" max="2307" width="6.85546875" style="439" customWidth="1"/>
    <col min="2308" max="2308" width="8" style="439" customWidth="1"/>
    <col min="2309" max="2309" width="9.140625" style="439"/>
    <col min="2310" max="2310" width="7.28515625" style="439" customWidth="1"/>
    <col min="2311" max="2311" width="8.85546875" style="439" customWidth="1"/>
    <col min="2312" max="2312" width="10.5703125" style="439" customWidth="1"/>
    <col min="2313" max="2313" width="10.42578125" style="439" customWidth="1"/>
    <col min="2314" max="2314" width="9.140625" style="439" customWidth="1"/>
    <col min="2315" max="2315" width="11.42578125" style="439" customWidth="1"/>
    <col min="2316" max="2317" width="10.140625" style="439" customWidth="1"/>
    <col min="2318" max="2318" width="11.5703125" style="439" customWidth="1"/>
    <col min="2319" max="2319" width="10.28515625" style="439" customWidth="1"/>
    <col min="2320" max="2320" width="11.42578125" style="439" customWidth="1"/>
    <col min="2321" max="2321" width="10.7109375" style="439" customWidth="1"/>
    <col min="2322" max="2322" width="18.5703125" style="439" customWidth="1"/>
    <col min="2323" max="2323" width="7.85546875" style="439" customWidth="1"/>
    <col min="2324" max="2324" width="14.85546875" style="439" customWidth="1"/>
    <col min="2325" max="2332" width="0" style="439" hidden="1" customWidth="1"/>
    <col min="2333" max="2560" width="9.140625" style="439"/>
    <col min="2561" max="2561" width="0.5703125" style="439" customWidth="1"/>
    <col min="2562" max="2562" width="47.5703125" style="439" customWidth="1"/>
    <col min="2563" max="2563" width="6.85546875" style="439" customWidth="1"/>
    <col min="2564" max="2564" width="8" style="439" customWidth="1"/>
    <col min="2565" max="2565" width="9.140625" style="439"/>
    <col min="2566" max="2566" width="7.28515625" style="439" customWidth="1"/>
    <col min="2567" max="2567" width="8.85546875" style="439" customWidth="1"/>
    <col min="2568" max="2568" width="10.5703125" style="439" customWidth="1"/>
    <col min="2569" max="2569" width="10.42578125" style="439" customWidth="1"/>
    <col min="2570" max="2570" width="9.140625" style="439" customWidth="1"/>
    <col min="2571" max="2571" width="11.42578125" style="439" customWidth="1"/>
    <col min="2572" max="2573" width="10.140625" style="439" customWidth="1"/>
    <col min="2574" max="2574" width="11.5703125" style="439" customWidth="1"/>
    <col min="2575" max="2575" width="10.28515625" style="439" customWidth="1"/>
    <col min="2576" max="2576" width="11.42578125" style="439" customWidth="1"/>
    <col min="2577" max="2577" width="10.7109375" style="439" customWidth="1"/>
    <col min="2578" max="2578" width="18.5703125" style="439" customWidth="1"/>
    <col min="2579" max="2579" width="7.85546875" style="439" customWidth="1"/>
    <col min="2580" max="2580" width="14.85546875" style="439" customWidth="1"/>
    <col min="2581" max="2588" width="0" style="439" hidden="1" customWidth="1"/>
    <col min="2589" max="2816" width="9.140625" style="439"/>
    <col min="2817" max="2817" width="0.5703125" style="439" customWidth="1"/>
    <col min="2818" max="2818" width="47.5703125" style="439" customWidth="1"/>
    <col min="2819" max="2819" width="6.85546875" style="439" customWidth="1"/>
    <col min="2820" max="2820" width="8" style="439" customWidth="1"/>
    <col min="2821" max="2821" width="9.140625" style="439"/>
    <col min="2822" max="2822" width="7.28515625" style="439" customWidth="1"/>
    <col min="2823" max="2823" width="8.85546875" style="439" customWidth="1"/>
    <col min="2824" max="2824" width="10.5703125" style="439" customWidth="1"/>
    <col min="2825" max="2825" width="10.42578125" style="439" customWidth="1"/>
    <col min="2826" max="2826" width="9.140625" style="439" customWidth="1"/>
    <col min="2827" max="2827" width="11.42578125" style="439" customWidth="1"/>
    <col min="2828" max="2829" width="10.140625" style="439" customWidth="1"/>
    <col min="2830" max="2830" width="11.5703125" style="439" customWidth="1"/>
    <col min="2831" max="2831" width="10.28515625" style="439" customWidth="1"/>
    <col min="2832" max="2832" width="11.42578125" style="439" customWidth="1"/>
    <col min="2833" max="2833" width="10.7109375" style="439" customWidth="1"/>
    <col min="2834" max="2834" width="18.5703125" style="439" customWidth="1"/>
    <col min="2835" max="2835" width="7.85546875" style="439" customWidth="1"/>
    <col min="2836" max="2836" width="14.85546875" style="439" customWidth="1"/>
    <col min="2837" max="2844" width="0" style="439" hidden="1" customWidth="1"/>
    <col min="2845" max="3072" width="9.140625" style="439"/>
    <col min="3073" max="3073" width="0.5703125" style="439" customWidth="1"/>
    <col min="3074" max="3074" width="47.5703125" style="439" customWidth="1"/>
    <col min="3075" max="3075" width="6.85546875" style="439" customWidth="1"/>
    <col min="3076" max="3076" width="8" style="439" customWidth="1"/>
    <col min="3077" max="3077" width="9.140625" style="439"/>
    <col min="3078" max="3078" width="7.28515625" style="439" customWidth="1"/>
    <col min="3079" max="3079" width="8.85546875" style="439" customWidth="1"/>
    <col min="3080" max="3080" width="10.5703125" style="439" customWidth="1"/>
    <col min="3081" max="3081" width="10.42578125" style="439" customWidth="1"/>
    <col min="3082" max="3082" width="9.140625" style="439" customWidth="1"/>
    <col min="3083" max="3083" width="11.42578125" style="439" customWidth="1"/>
    <col min="3084" max="3085" width="10.140625" style="439" customWidth="1"/>
    <col min="3086" max="3086" width="11.5703125" style="439" customWidth="1"/>
    <col min="3087" max="3087" width="10.28515625" style="439" customWidth="1"/>
    <col min="3088" max="3088" width="11.42578125" style="439" customWidth="1"/>
    <col min="3089" max="3089" width="10.7109375" style="439" customWidth="1"/>
    <col min="3090" max="3090" width="18.5703125" style="439" customWidth="1"/>
    <col min="3091" max="3091" width="7.85546875" style="439" customWidth="1"/>
    <col min="3092" max="3092" width="14.85546875" style="439" customWidth="1"/>
    <col min="3093" max="3100" width="0" style="439" hidden="1" customWidth="1"/>
    <col min="3101" max="3328" width="9.140625" style="439"/>
    <col min="3329" max="3329" width="0.5703125" style="439" customWidth="1"/>
    <col min="3330" max="3330" width="47.5703125" style="439" customWidth="1"/>
    <col min="3331" max="3331" width="6.85546875" style="439" customWidth="1"/>
    <col min="3332" max="3332" width="8" style="439" customWidth="1"/>
    <col min="3333" max="3333" width="9.140625" style="439"/>
    <col min="3334" max="3334" width="7.28515625" style="439" customWidth="1"/>
    <col min="3335" max="3335" width="8.85546875" style="439" customWidth="1"/>
    <col min="3336" max="3336" width="10.5703125" style="439" customWidth="1"/>
    <col min="3337" max="3337" width="10.42578125" style="439" customWidth="1"/>
    <col min="3338" max="3338" width="9.140625" style="439" customWidth="1"/>
    <col min="3339" max="3339" width="11.42578125" style="439" customWidth="1"/>
    <col min="3340" max="3341" width="10.140625" style="439" customWidth="1"/>
    <col min="3342" max="3342" width="11.5703125" style="439" customWidth="1"/>
    <col min="3343" max="3343" width="10.28515625" style="439" customWidth="1"/>
    <col min="3344" max="3344" width="11.42578125" style="439" customWidth="1"/>
    <col min="3345" max="3345" width="10.7109375" style="439" customWidth="1"/>
    <col min="3346" max="3346" width="18.5703125" style="439" customWidth="1"/>
    <col min="3347" max="3347" width="7.85546875" style="439" customWidth="1"/>
    <col min="3348" max="3348" width="14.85546875" style="439" customWidth="1"/>
    <col min="3349" max="3356" width="0" style="439" hidden="1" customWidth="1"/>
    <col min="3357" max="3584" width="9.140625" style="439"/>
    <col min="3585" max="3585" width="0.5703125" style="439" customWidth="1"/>
    <col min="3586" max="3586" width="47.5703125" style="439" customWidth="1"/>
    <col min="3587" max="3587" width="6.85546875" style="439" customWidth="1"/>
    <col min="3588" max="3588" width="8" style="439" customWidth="1"/>
    <col min="3589" max="3589" width="9.140625" style="439"/>
    <col min="3590" max="3590" width="7.28515625" style="439" customWidth="1"/>
    <col min="3591" max="3591" width="8.85546875" style="439" customWidth="1"/>
    <col min="3592" max="3592" width="10.5703125" style="439" customWidth="1"/>
    <col min="3593" max="3593" width="10.42578125" style="439" customWidth="1"/>
    <col min="3594" max="3594" width="9.140625" style="439" customWidth="1"/>
    <col min="3595" max="3595" width="11.42578125" style="439" customWidth="1"/>
    <col min="3596" max="3597" width="10.140625" style="439" customWidth="1"/>
    <col min="3598" max="3598" width="11.5703125" style="439" customWidth="1"/>
    <col min="3599" max="3599" width="10.28515625" style="439" customWidth="1"/>
    <col min="3600" max="3600" width="11.42578125" style="439" customWidth="1"/>
    <col min="3601" max="3601" width="10.7109375" style="439" customWidth="1"/>
    <col min="3602" max="3602" width="18.5703125" style="439" customWidth="1"/>
    <col min="3603" max="3603" width="7.85546875" style="439" customWidth="1"/>
    <col min="3604" max="3604" width="14.85546875" style="439" customWidth="1"/>
    <col min="3605" max="3612" width="0" style="439" hidden="1" customWidth="1"/>
    <col min="3613" max="3840" width="9.140625" style="439"/>
    <col min="3841" max="3841" width="0.5703125" style="439" customWidth="1"/>
    <col min="3842" max="3842" width="47.5703125" style="439" customWidth="1"/>
    <col min="3843" max="3843" width="6.85546875" style="439" customWidth="1"/>
    <col min="3844" max="3844" width="8" style="439" customWidth="1"/>
    <col min="3845" max="3845" width="9.140625" style="439"/>
    <col min="3846" max="3846" width="7.28515625" style="439" customWidth="1"/>
    <col min="3847" max="3847" width="8.85546875" style="439" customWidth="1"/>
    <col min="3848" max="3848" width="10.5703125" style="439" customWidth="1"/>
    <col min="3849" max="3849" width="10.42578125" style="439" customWidth="1"/>
    <col min="3850" max="3850" width="9.140625" style="439" customWidth="1"/>
    <col min="3851" max="3851" width="11.42578125" style="439" customWidth="1"/>
    <col min="3852" max="3853" width="10.140625" style="439" customWidth="1"/>
    <col min="3854" max="3854" width="11.5703125" style="439" customWidth="1"/>
    <col min="3855" max="3855" width="10.28515625" style="439" customWidth="1"/>
    <col min="3856" max="3856" width="11.42578125" style="439" customWidth="1"/>
    <col min="3857" max="3857" width="10.7109375" style="439" customWidth="1"/>
    <col min="3858" max="3858" width="18.5703125" style="439" customWidth="1"/>
    <col min="3859" max="3859" width="7.85546875" style="439" customWidth="1"/>
    <col min="3860" max="3860" width="14.85546875" style="439" customWidth="1"/>
    <col min="3861" max="3868" width="0" style="439" hidden="1" customWidth="1"/>
    <col min="3869" max="4096" width="9.140625" style="439"/>
    <col min="4097" max="4097" width="0.5703125" style="439" customWidth="1"/>
    <col min="4098" max="4098" width="47.5703125" style="439" customWidth="1"/>
    <col min="4099" max="4099" width="6.85546875" style="439" customWidth="1"/>
    <col min="4100" max="4100" width="8" style="439" customWidth="1"/>
    <col min="4101" max="4101" width="9.140625" style="439"/>
    <col min="4102" max="4102" width="7.28515625" style="439" customWidth="1"/>
    <col min="4103" max="4103" width="8.85546875" style="439" customWidth="1"/>
    <col min="4104" max="4104" width="10.5703125" style="439" customWidth="1"/>
    <col min="4105" max="4105" width="10.42578125" style="439" customWidth="1"/>
    <col min="4106" max="4106" width="9.140625" style="439" customWidth="1"/>
    <col min="4107" max="4107" width="11.42578125" style="439" customWidth="1"/>
    <col min="4108" max="4109" width="10.140625" style="439" customWidth="1"/>
    <col min="4110" max="4110" width="11.5703125" style="439" customWidth="1"/>
    <col min="4111" max="4111" width="10.28515625" style="439" customWidth="1"/>
    <col min="4112" max="4112" width="11.42578125" style="439" customWidth="1"/>
    <col min="4113" max="4113" width="10.7109375" style="439" customWidth="1"/>
    <col min="4114" max="4114" width="18.5703125" style="439" customWidth="1"/>
    <col min="4115" max="4115" width="7.85546875" style="439" customWidth="1"/>
    <col min="4116" max="4116" width="14.85546875" style="439" customWidth="1"/>
    <col min="4117" max="4124" width="0" style="439" hidden="1" customWidth="1"/>
    <col min="4125" max="4352" width="9.140625" style="439"/>
    <col min="4353" max="4353" width="0.5703125" style="439" customWidth="1"/>
    <col min="4354" max="4354" width="47.5703125" style="439" customWidth="1"/>
    <col min="4355" max="4355" width="6.85546875" style="439" customWidth="1"/>
    <col min="4356" max="4356" width="8" style="439" customWidth="1"/>
    <col min="4357" max="4357" width="9.140625" style="439"/>
    <col min="4358" max="4358" width="7.28515625" style="439" customWidth="1"/>
    <col min="4359" max="4359" width="8.85546875" style="439" customWidth="1"/>
    <col min="4360" max="4360" width="10.5703125" style="439" customWidth="1"/>
    <col min="4361" max="4361" width="10.42578125" style="439" customWidth="1"/>
    <col min="4362" max="4362" width="9.140625" style="439" customWidth="1"/>
    <col min="4363" max="4363" width="11.42578125" style="439" customWidth="1"/>
    <col min="4364" max="4365" width="10.140625" style="439" customWidth="1"/>
    <col min="4366" max="4366" width="11.5703125" style="439" customWidth="1"/>
    <col min="4367" max="4367" width="10.28515625" style="439" customWidth="1"/>
    <col min="4368" max="4368" width="11.42578125" style="439" customWidth="1"/>
    <col min="4369" max="4369" width="10.7109375" style="439" customWidth="1"/>
    <col min="4370" max="4370" width="18.5703125" style="439" customWidth="1"/>
    <col min="4371" max="4371" width="7.85546875" style="439" customWidth="1"/>
    <col min="4372" max="4372" width="14.85546875" style="439" customWidth="1"/>
    <col min="4373" max="4380" width="0" style="439" hidden="1" customWidth="1"/>
    <col min="4381" max="4608" width="9.140625" style="439"/>
    <col min="4609" max="4609" width="0.5703125" style="439" customWidth="1"/>
    <col min="4610" max="4610" width="47.5703125" style="439" customWidth="1"/>
    <col min="4611" max="4611" width="6.85546875" style="439" customWidth="1"/>
    <col min="4612" max="4612" width="8" style="439" customWidth="1"/>
    <col min="4613" max="4613" width="9.140625" style="439"/>
    <col min="4614" max="4614" width="7.28515625" style="439" customWidth="1"/>
    <col min="4615" max="4615" width="8.85546875" style="439" customWidth="1"/>
    <col min="4616" max="4616" width="10.5703125" style="439" customWidth="1"/>
    <col min="4617" max="4617" width="10.42578125" style="439" customWidth="1"/>
    <col min="4618" max="4618" width="9.140625" style="439" customWidth="1"/>
    <col min="4619" max="4619" width="11.42578125" style="439" customWidth="1"/>
    <col min="4620" max="4621" width="10.140625" style="439" customWidth="1"/>
    <col min="4622" max="4622" width="11.5703125" style="439" customWidth="1"/>
    <col min="4623" max="4623" width="10.28515625" style="439" customWidth="1"/>
    <col min="4624" max="4624" width="11.42578125" style="439" customWidth="1"/>
    <col min="4625" max="4625" width="10.7109375" style="439" customWidth="1"/>
    <col min="4626" max="4626" width="18.5703125" style="439" customWidth="1"/>
    <col min="4627" max="4627" width="7.85546875" style="439" customWidth="1"/>
    <col min="4628" max="4628" width="14.85546875" style="439" customWidth="1"/>
    <col min="4629" max="4636" width="0" style="439" hidden="1" customWidth="1"/>
    <col min="4637" max="4864" width="9.140625" style="439"/>
    <col min="4865" max="4865" width="0.5703125" style="439" customWidth="1"/>
    <col min="4866" max="4866" width="47.5703125" style="439" customWidth="1"/>
    <col min="4867" max="4867" width="6.85546875" style="439" customWidth="1"/>
    <col min="4868" max="4868" width="8" style="439" customWidth="1"/>
    <col min="4869" max="4869" width="9.140625" style="439"/>
    <col min="4870" max="4870" width="7.28515625" style="439" customWidth="1"/>
    <col min="4871" max="4871" width="8.85546875" style="439" customWidth="1"/>
    <col min="4872" max="4872" width="10.5703125" style="439" customWidth="1"/>
    <col min="4873" max="4873" width="10.42578125" style="439" customWidth="1"/>
    <col min="4874" max="4874" width="9.140625" style="439" customWidth="1"/>
    <col min="4875" max="4875" width="11.42578125" style="439" customWidth="1"/>
    <col min="4876" max="4877" width="10.140625" style="439" customWidth="1"/>
    <col min="4878" max="4878" width="11.5703125" style="439" customWidth="1"/>
    <col min="4879" max="4879" width="10.28515625" style="439" customWidth="1"/>
    <col min="4880" max="4880" width="11.42578125" style="439" customWidth="1"/>
    <col min="4881" max="4881" width="10.7109375" style="439" customWidth="1"/>
    <col min="4882" max="4882" width="18.5703125" style="439" customWidth="1"/>
    <col min="4883" max="4883" width="7.85546875" style="439" customWidth="1"/>
    <col min="4884" max="4884" width="14.85546875" style="439" customWidth="1"/>
    <col min="4885" max="4892" width="0" style="439" hidden="1" customWidth="1"/>
    <col min="4893" max="5120" width="9.140625" style="439"/>
    <col min="5121" max="5121" width="0.5703125" style="439" customWidth="1"/>
    <col min="5122" max="5122" width="47.5703125" style="439" customWidth="1"/>
    <col min="5123" max="5123" width="6.85546875" style="439" customWidth="1"/>
    <col min="5124" max="5124" width="8" style="439" customWidth="1"/>
    <col min="5125" max="5125" width="9.140625" style="439"/>
    <col min="5126" max="5126" width="7.28515625" style="439" customWidth="1"/>
    <col min="5127" max="5127" width="8.85546875" style="439" customWidth="1"/>
    <col min="5128" max="5128" width="10.5703125" style="439" customWidth="1"/>
    <col min="5129" max="5129" width="10.42578125" style="439" customWidth="1"/>
    <col min="5130" max="5130" width="9.140625" style="439" customWidth="1"/>
    <col min="5131" max="5131" width="11.42578125" style="439" customWidth="1"/>
    <col min="5132" max="5133" width="10.140625" style="439" customWidth="1"/>
    <col min="5134" max="5134" width="11.5703125" style="439" customWidth="1"/>
    <col min="5135" max="5135" width="10.28515625" style="439" customWidth="1"/>
    <col min="5136" max="5136" width="11.42578125" style="439" customWidth="1"/>
    <col min="5137" max="5137" width="10.7109375" style="439" customWidth="1"/>
    <col min="5138" max="5138" width="18.5703125" style="439" customWidth="1"/>
    <col min="5139" max="5139" width="7.85546875" style="439" customWidth="1"/>
    <col min="5140" max="5140" width="14.85546875" style="439" customWidth="1"/>
    <col min="5141" max="5148" width="0" style="439" hidden="1" customWidth="1"/>
    <col min="5149" max="5376" width="9.140625" style="439"/>
    <col min="5377" max="5377" width="0.5703125" style="439" customWidth="1"/>
    <col min="5378" max="5378" width="47.5703125" style="439" customWidth="1"/>
    <col min="5379" max="5379" width="6.85546875" style="439" customWidth="1"/>
    <col min="5380" max="5380" width="8" style="439" customWidth="1"/>
    <col min="5381" max="5381" width="9.140625" style="439"/>
    <col min="5382" max="5382" width="7.28515625" style="439" customWidth="1"/>
    <col min="5383" max="5383" width="8.85546875" style="439" customWidth="1"/>
    <col min="5384" max="5384" width="10.5703125" style="439" customWidth="1"/>
    <col min="5385" max="5385" width="10.42578125" style="439" customWidth="1"/>
    <col min="5386" max="5386" width="9.140625" style="439" customWidth="1"/>
    <col min="5387" max="5387" width="11.42578125" style="439" customWidth="1"/>
    <col min="5388" max="5389" width="10.140625" style="439" customWidth="1"/>
    <col min="5390" max="5390" width="11.5703125" style="439" customWidth="1"/>
    <col min="5391" max="5391" width="10.28515625" style="439" customWidth="1"/>
    <col min="5392" max="5392" width="11.42578125" style="439" customWidth="1"/>
    <col min="5393" max="5393" width="10.7109375" style="439" customWidth="1"/>
    <col min="5394" max="5394" width="18.5703125" style="439" customWidth="1"/>
    <col min="5395" max="5395" width="7.85546875" style="439" customWidth="1"/>
    <col min="5396" max="5396" width="14.85546875" style="439" customWidth="1"/>
    <col min="5397" max="5404" width="0" style="439" hidden="1" customWidth="1"/>
    <col min="5405" max="5632" width="9.140625" style="439"/>
    <col min="5633" max="5633" width="0.5703125" style="439" customWidth="1"/>
    <col min="5634" max="5634" width="47.5703125" style="439" customWidth="1"/>
    <col min="5635" max="5635" width="6.85546875" style="439" customWidth="1"/>
    <col min="5636" max="5636" width="8" style="439" customWidth="1"/>
    <col min="5637" max="5637" width="9.140625" style="439"/>
    <col min="5638" max="5638" width="7.28515625" style="439" customWidth="1"/>
    <col min="5639" max="5639" width="8.85546875" style="439" customWidth="1"/>
    <col min="5640" max="5640" width="10.5703125" style="439" customWidth="1"/>
    <col min="5641" max="5641" width="10.42578125" style="439" customWidth="1"/>
    <col min="5642" max="5642" width="9.140625" style="439" customWidth="1"/>
    <col min="5643" max="5643" width="11.42578125" style="439" customWidth="1"/>
    <col min="5644" max="5645" width="10.140625" style="439" customWidth="1"/>
    <col min="5646" max="5646" width="11.5703125" style="439" customWidth="1"/>
    <col min="5647" max="5647" width="10.28515625" style="439" customWidth="1"/>
    <col min="5648" max="5648" width="11.42578125" style="439" customWidth="1"/>
    <col min="5649" max="5649" width="10.7109375" style="439" customWidth="1"/>
    <col min="5650" max="5650" width="18.5703125" style="439" customWidth="1"/>
    <col min="5651" max="5651" width="7.85546875" style="439" customWidth="1"/>
    <col min="5652" max="5652" width="14.85546875" style="439" customWidth="1"/>
    <col min="5653" max="5660" width="0" style="439" hidden="1" customWidth="1"/>
    <col min="5661" max="5888" width="9.140625" style="439"/>
    <col min="5889" max="5889" width="0.5703125" style="439" customWidth="1"/>
    <col min="5890" max="5890" width="47.5703125" style="439" customWidth="1"/>
    <col min="5891" max="5891" width="6.85546875" style="439" customWidth="1"/>
    <col min="5892" max="5892" width="8" style="439" customWidth="1"/>
    <col min="5893" max="5893" width="9.140625" style="439"/>
    <col min="5894" max="5894" width="7.28515625" style="439" customWidth="1"/>
    <col min="5895" max="5895" width="8.85546875" style="439" customWidth="1"/>
    <col min="5896" max="5896" width="10.5703125" style="439" customWidth="1"/>
    <col min="5897" max="5897" width="10.42578125" style="439" customWidth="1"/>
    <col min="5898" max="5898" width="9.140625" style="439" customWidth="1"/>
    <col min="5899" max="5899" width="11.42578125" style="439" customWidth="1"/>
    <col min="5900" max="5901" width="10.140625" style="439" customWidth="1"/>
    <col min="5902" max="5902" width="11.5703125" style="439" customWidth="1"/>
    <col min="5903" max="5903" width="10.28515625" style="439" customWidth="1"/>
    <col min="5904" max="5904" width="11.42578125" style="439" customWidth="1"/>
    <col min="5905" max="5905" width="10.7109375" style="439" customWidth="1"/>
    <col min="5906" max="5906" width="18.5703125" style="439" customWidth="1"/>
    <col min="5907" max="5907" width="7.85546875" style="439" customWidth="1"/>
    <col min="5908" max="5908" width="14.85546875" style="439" customWidth="1"/>
    <col min="5909" max="5916" width="0" style="439" hidden="1" customWidth="1"/>
    <col min="5917" max="6144" width="9.140625" style="439"/>
    <col min="6145" max="6145" width="0.5703125" style="439" customWidth="1"/>
    <col min="6146" max="6146" width="47.5703125" style="439" customWidth="1"/>
    <col min="6147" max="6147" width="6.85546875" style="439" customWidth="1"/>
    <col min="6148" max="6148" width="8" style="439" customWidth="1"/>
    <col min="6149" max="6149" width="9.140625" style="439"/>
    <col min="6150" max="6150" width="7.28515625" style="439" customWidth="1"/>
    <col min="6151" max="6151" width="8.85546875" style="439" customWidth="1"/>
    <col min="6152" max="6152" width="10.5703125" style="439" customWidth="1"/>
    <col min="6153" max="6153" width="10.42578125" style="439" customWidth="1"/>
    <col min="6154" max="6154" width="9.140625" style="439" customWidth="1"/>
    <col min="6155" max="6155" width="11.42578125" style="439" customWidth="1"/>
    <col min="6156" max="6157" width="10.140625" style="439" customWidth="1"/>
    <col min="6158" max="6158" width="11.5703125" style="439" customWidth="1"/>
    <col min="6159" max="6159" width="10.28515625" style="439" customWidth="1"/>
    <col min="6160" max="6160" width="11.42578125" style="439" customWidth="1"/>
    <col min="6161" max="6161" width="10.7109375" style="439" customWidth="1"/>
    <col min="6162" max="6162" width="18.5703125" style="439" customWidth="1"/>
    <col min="6163" max="6163" width="7.85546875" style="439" customWidth="1"/>
    <col min="6164" max="6164" width="14.85546875" style="439" customWidth="1"/>
    <col min="6165" max="6172" width="0" style="439" hidden="1" customWidth="1"/>
    <col min="6173" max="6400" width="9.140625" style="439"/>
    <col min="6401" max="6401" width="0.5703125" style="439" customWidth="1"/>
    <col min="6402" max="6402" width="47.5703125" style="439" customWidth="1"/>
    <col min="6403" max="6403" width="6.85546875" style="439" customWidth="1"/>
    <col min="6404" max="6404" width="8" style="439" customWidth="1"/>
    <col min="6405" max="6405" width="9.140625" style="439"/>
    <col min="6406" max="6406" width="7.28515625" style="439" customWidth="1"/>
    <col min="6407" max="6407" width="8.85546875" style="439" customWidth="1"/>
    <col min="6408" max="6408" width="10.5703125" style="439" customWidth="1"/>
    <col min="6409" max="6409" width="10.42578125" style="439" customWidth="1"/>
    <col min="6410" max="6410" width="9.140625" style="439" customWidth="1"/>
    <col min="6411" max="6411" width="11.42578125" style="439" customWidth="1"/>
    <col min="6412" max="6413" width="10.140625" style="439" customWidth="1"/>
    <col min="6414" max="6414" width="11.5703125" style="439" customWidth="1"/>
    <col min="6415" max="6415" width="10.28515625" style="439" customWidth="1"/>
    <col min="6416" max="6416" width="11.42578125" style="439" customWidth="1"/>
    <col min="6417" max="6417" width="10.7109375" style="439" customWidth="1"/>
    <col min="6418" max="6418" width="18.5703125" style="439" customWidth="1"/>
    <col min="6419" max="6419" width="7.85546875" style="439" customWidth="1"/>
    <col min="6420" max="6420" width="14.85546875" style="439" customWidth="1"/>
    <col min="6421" max="6428" width="0" style="439" hidden="1" customWidth="1"/>
    <col min="6429" max="6656" width="9.140625" style="439"/>
    <col min="6657" max="6657" width="0.5703125" style="439" customWidth="1"/>
    <col min="6658" max="6658" width="47.5703125" style="439" customWidth="1"/>
    <col min="6659" max="6659" width="6.85546875" style="439" customWidth="1"/>
    <col min="6660" max="6660" width="8" style="439" customWidth="1"/>
    <col min="6661" max="6661" width="9.140625" style="439"/>
    <col min="6662" max="6662" width="7.28515625" style="439" customWidth="1"/>
    <col min="6663" max="6663" width="8.85546875" style="439" customWidth="1"/>
    <col min="6664" max="6664" width="10.5703125" style="439" customWidth="1"/>
    <col min="6665" max="6665" width="10.42578125" style="439" customWidth="1"/>
    <col min="6666" max="6666" width="9.140625" style="439" customWidth="1"/>
    <col min="6667" max="6667" width="11.42578125" style="439" customWidth="1"/>
    <col min="6668" max="6669" width="10.140625" style="439" customWidth="1"/>
    <col min="6670" max="6670" width="11.5703125" style="439" customWidth="1"/>
    <col min="6671" max="6671" width="10.28515625" style="439" customWidth="1"/>
    <col min="6672" max="6672" width="11.42578125" style="439" customWidth="1"/>
    <col min="6673" max="6673" width="10.7109375" style="439" customWidth="1"/>
    <col min="6674" max="6674" width="18.5703125" style="439" customWidth="1"/>
    <col min="6675" max="6675" width="7.85546875" style="439" customWidth="1"/>
    <col min="6676" max="6676" width="14.85546875" style="439" customWidth="1"/>
    <col min="6677" max="6684" width="0" style="439" hidden="1" customWidth="1"/>
    <col min="6685" max="6912" width="9.140625" style="439"/>
    <col min="6913" max="6913" width="0.5703125" style="439" customWidth="1"/>
    <col min="6914" max="6914" width="47.5703125" style="439" customWidth="1"/>
    <col min="6915" max="6915" width="6.85546875" style="439" customWidth="1"/>
    <col min="6916" max="6916" width="8" style="439" customWidth="1"/>
    <col min="6917" max="6917" width="9.140625" style="439"/>
    <col min="6918" max="6918" width="7.28515625" style="439" customWidth="1"/>
    <col min="6919" max="6919" width="8.85546875" style="439" customWidth="1"/>
    <col min="6920" max="6920" width="10.5703125" style="439" customWidth="1"/>
    <col min="6921" max="6921" width="10.42578125" style="439" customWidth="1"/>
    <col min="6922" max="6922" width="9.140625" style="439" customWidth="1"/>
    <col min="6923" max="6923" width="11.42578125" style="439" customWidth="1"/>
    <col min="6924" max="6925" width="10.140625" style="439" customWidth="1"/>
    <col min="6926" max="6926" width="11.5703125" style="439" customWidth="1"/>
    <col min="6927" max="6927" width="10.28515625" style="439" customWidth="1"/>
    <col min="6928" max="6928" width="11.42578125" style="439" customWidth="1"/>
    <col min="6929" max="6929" width="10.7109375" style="439" customWidth="1"/>
    <col min="6930" max="6930" width="18.5703125" style="439" customWidth="1"/>
    <col min="6931" max="6931" width="7.85546875" style="439" customWidth="1"/>
    <col min="6932" max="6932" width="14.85546875" style="439" customWidth="1"/>
    <col min="6933" max="6940" width="0" style="439" hidden="1" customWidth="1"/>
    <col min="6941" max="7168" width="9.140625" style="439"/>
    <col min="7169" max="7169" width="0.5703125" style="439" customWidth="1"/>
    <col min="7170" max="7170" width="47.5703125" style="439" customWidth="1"/>
    <col min="7171" max="7171" width="6.85546875" style="439" customWidth="1"/>
    <col min="7172" max="7172" width="8" style="439" customWidth="1"/>
    <col min="7173" max="7173" width="9.140625" style="439"/>
    <col min="7174" max="7174" width="7.28515625" style="439" customWidth="1"/>
    <col min="7175" max="7175" width="8.85546875" style="439" customWidth="1"/>
    <col min="7176" max="7176" width="10.5703125" style="439" customWidth="1"/>
    <col min="7177" max="7177" width="10.42578125" style="439" customWidth="1"/>
    <col min="7178" max="7178" width="9.140625" style="439" customWidth="1"/>
    <col min="7179" max="7179" width="11.42578125" style="439" customWidth="1"/>
    <col min="7180" max="7181" width="10.140625" style="439" customWidth="1"/>
    <col min="7182" max="7182" width="11.5703125" style="439" customWidth="1"/>
    <col min="7183" max="7183" width="10.28515625" style="439" customWidth="1"/>
    <col min="7184" max="7184" width="11.42578125" style="439" customWidth="1"/>
    <col min="7185" max="7185" width="10.7109375" style="439" customWidth="1"/>
    <col min="7186" max="7186" width="18.5703125" style="439" customWidth="1"/>
    <col min="7187" max="7187" width="7.85546875" style="439" customWidth="1"/>
    <col min="7188" max="7188" width="14.85546875" style="439" customWidth="1"/>
    <col min="7189" max="7196" width="0" style="439" hidden="1" customWidth="1"/>
    <col min="7197" max="7424" width="9.140625" style="439"/>
    <col min="7425" max="7425" width="0.5703125" style="439" customWidth="1"/>
    <col min="7426" max="7426" width="47.5703125" style="439" customWidth="1"/>
    <col min="7427" max="7427" width="6.85546875" style="439" customWidth="1"/>
    <col min="7428" max="7428" width="8" style="439" customWidth="1"/>
    <col min="7429" max="7429" width="9.140625" style="439"/>
    <col min="7430" max="7430" width="7.28515625" style="439" customWidth="1"/>
    <col min="7431" max="7431" width="8.85546875" style="439" customWidth="1"/>
    <col min="7432" max="7432" width="10.5703125" style="439" customWidth="1"/>
    <col min="7433" max="7433" width="10.42578125" style="439" customWidth="1"/>
    <col min="7434" max="7434" width="9.140625" style="439" customWidth="1"/>
    <col min="7435" max="7435" width="11.42578125" style="439" customWidth="1"/>
    <col min="7436" max="7437" width="10.140625" style="439" customWidth="1"/>
    <col min="7438" max="7438" width="11.5703125" style="439" customWidth="1"/>
    <col min="7439" max="7439" width="10.28515625" style="439" customWidth="1"/>
    <col min="7440" max="7440" width="11.42578125" style="439" customWidth="1"/>
    <col min="7441" max="7441" width="10.7109375" style="439" customWidth="1"/>
    <col min="7442" max="7442" width="18.5703125" style="439" customWidth="1"/>
    <col min="7443" max="7443" width="7.85546875" style="439" customWidth="1"/>
    <col min="7444" max="7444" width="14.85546875" style="439" customWidth="1"/>
    <col min="7445" max="7452" width="0" style="439" hidden="1" customWidth="1"/>
    <col min="7453" max="7680" width="9.140625" style="439"/>
    <col min="7681" max="7681" width="0.5703125" style="439" customWidth="1"/>
    <col min="7682" max="7682" width="47.5703125" style="439" customWidth="1"/>
    <col min="7683" max="7683" width="6.85546875" style="439" customWidth="1"/>
    <col min="7684" max="7684" width="8" style="439" customWidth="1"/>
    <col min="7685" max="7685" width="9.140625" style="439"/>
    <col min="7686" max="7686" width="7.28515625" style="439" customWidth="1"/>
    <col min="7687" max="7687" width="8.85546875" style="439" customWidth="1"/>
    <col min="7688" max="7688" width="10.5703125" style="439" customWidth="1"/>
    <col min="7689" max="7689" width="10.42578125" style="439" customWidth="1"/>
    <col min="7690" max="7690" width="9.140625" style="439" customWidth="1"/>
    <col min="7691" max="7691" width="11.42578125" style="439" customWidth="1"/>
    <col min="7692" max="7693" width="10.140625" style="439" customWidth="1"/>
    <col min="7694" max="7694" width="11.5703125" style="439" customWidth="1"/>
    <col min="7695" max="7695" width="10.28515625" style="439" customWidth="1"/>
    <col min="7696" max="7696" width="11.42578125" style="439" customWidth="1"/>
    <col min="7697" max="7697" width="10.7109375" style="439" customWidth="1"/>
    <col min="7698" max="7698" width="18.5703125" style="439" customWidth="1"/>
    <col min="7699" max="7699" width="7.85546875" style="439" customWidth="1"/>
    <col min="7700" max="7700" width="14.85546875" style="439" customWidth="1"/>
    <col min="7701" max="7708" width="0" style="439" hidden="1" customWidth="1"/>
    <col min="7709" max="7936" width="9.140625" style="439"/>
    <col min="7937" max="7937" width="0.5703125" style="439" customWidth="1"/>
    <col min="7938" max="7938" width="47.5703125" style="439" customWidth="1"/>
    <col min="7939" max="7939" width="6.85546875" style="439" customWidth="1"/>
    <col min="7940" max="7940" width="8" style="439" customWidth="1"/>
    <col min="7941" max="7941" width="9.140625" style="439"/>
    <col min="7942" max="7942" width="7.28515625" style="439" customWidth="1"/>
    <col min="7943" max="7943" width="8.85546875" style="439" customWidth="1"/>
    <col min="7944" max="7944" width="10.5703125" style="439" customWidth="1"/>
    <col min="7945" max="7945" width="10.42578125" style="439" customWidth="1"/>
    <col min="7946" max="7946" width="9.140625" style="439" customWidth="1"/>
    <col min="7947" max="7947" width="11.42578125" style="439" customWidth="1"/>
    <col min="7948" max="7949" width="10.140625" style="439" customWidth="1"/>
    <col min="7950" max="7950" width="11.5703125" style="439" customWidth="1"/>
    <col min="7951" max="7951" width="10.28515625" style="439" customWidth="1"/>
    <col min="7952" max="7952" width="11.42578125" style="439" customWidth="1"/>
    <col min="7953" max="7953" width="10.7109375" style="439" customWidth="1"/>
    <col min="7954" max="7954" width="18.5703125" style="439" customWidth="1"/>
    <col min="7955" max="7955" width="7.85546875" style="439" customWidth="1"/>
    <col min="7956" max="7956" width="14.85546875" style="439" customWidth="1"/>
    <col min="7957" max="7964" width="0" style="439" hidden="1" customWidth="1"/>
    <col min="7965" max="8192" width="9.140625" style="439"/>
    <col min="8193" max="8193" width="0.5703125" style="439" customWidth="1"/>
    <col min="8194" max="8194" width="47.5703125" style="439" customWidth="1"/>
    <col min="8195" max="8195" width="6.85546875" style="439" customWidth="1"/>
    <col min="8196" max="8196" width="8" style="439" customWidth="1"/>
    <col min="8197" max="8197" width="9.140625" style="439"/>
    <col min="8198" max="8198" width="7.28515625" style="439" customWidth="1"/>
    <col min="8199" max="8199" width="8.85546875" style="439" customWidth="1"/>
    <col min="8200" max="8200" width="10.5703125" style="439" customWidth="1"/>
    <col min="8201" max="8201" width="10.42578125" style="439" customWidth="1"/>
    <col min="8202" max="8202" width="9.140625" style="439" customWidth="1"/>
    <col min="8203" max="8203" width="11.42578125" style="439" customWidth="1"/>
    <col min="8204" max="8205" width="10.140625" style="439" customWidth="1"/>
    <col min="8206" max="8206" width="11.5703125" style="439" customWidth="1"/>
    <col min="8207" max="8207" width="10.28515625" style="439" customWidth="1"/>
    <col min="8208" max="8208" width="11.42578125" style="439" customWidth="1"/>
    <col min="8209" max="8209" width="10.7109375" style="439" customWidth="1"/>
    <col min="8210" max="8210" width="18.5703125" style="439" customWidth="1"/>
    <col min="8211" max="8211" width="7.85546875" style="439" customWidth="1"/>
    <col min="8212" max="8212" width="14.85546875" style="439" customWidth="1"/>
    <col min="8213" max="8220" width="0" style="439" hidden="1" customWidth="1"/>
    <col min="8221" max="8448" width="9.140625" style="439"/>
    <col min="8449" max="8449" width="0.5703125" style="439" customWidth="1"/>
    <col min="8450" max="8450" width="47.5703125" style="439" customWidth="1"/>
    <col min="8451" max="8451" width="6.85546875" style="439" customWidth="1"/>
    <col min="8452" max="8452" width="8" style="439" customWidth="1"/>
    <col min="8453" max="8453" width="9.140625" style="439"/>
    <col min="8454" max="8454" width="7.28515625" style="439" customWidth="1"/>
    <col min="8455" max="8455" width="8.85546875" style="439" customWidth="1"/>
    <col min="8456" max="8456" width="10.5703125" style="439" customWidth="1"/>
    <col min="8457" max="8457" width="10.42578125" style="439" customWidth="1"/>
    <col min="8458" max="8458" width="9.140625" style="439" customWidth="1"/>
    <col min="8459" max="8459" width="11.42578125" style="439" customWidth="1"/>
    <col min="8460" max="8461" width="10.140625" style="439" customWidth="1"/>
    <col min="8462" max="8462" width="11.5703125" style="439" customWidth="1"/>
    <col min="8463" max="8463" width="10.28515625" style="439" customWidth="1"/>
    <col min="8464" max="8464" width="11.42578125" style="439" customWidth="1"/>
    <col min="8465" max="8465" width="10.7109375" style="439" customWidth="1"/>
    <col min="8466" max="8466" width="18.5703125" style="439" customWidth="1"/>
    <col min="8467" max="8467" width="7.85546875" style="439" customWidth="1"/>
    <col min="8468" max="8468" width="14.85546875" style="439" customWidth="1"/>
    <col min="8469" max="8476" width="0" style="439" hidden="1" customWidth="1"/>
    <col min="8477" max="8704" width="9.140625" style="439"/>
    <col min="8705" max="8705" width="0.5703125" style="439" customWidth="1"/>
    <col min="8706" max="8706" width="47.5703125" style="439" customWidth="1"/>
    <col min="8707" max="8707" width="6.85546875" style="439" customWidth="1"/>
    <col min="8708" max="8708" width="8" style="439" customWidth="1"/>
    <col min="8709" max="8709" width="9.140625" style="439"/>
    <col min="8710" max="8710" width="7.28515625" style="439" customWidth="1"/>
    <col min="8711" max="8711" width="8.85546875" style="439" customWidth="1"/>
    <col min="8712" max="8712" width="10.5703125" style="439" customWidth="1"/>
    <col min="8713" max="8713" width="10.42578125" style="439" customWidth="1"/>
    <col min="8714" max="8714" width="9.140625" style="439" customWidth="1"/>
    <col min="8715" max="8715" width="11.42578125" style="439" customWidth="1"/>
    <col min="8716" max="8717" width="10.140625" style="439" customWidth="1"/>
    <col min="8718" max="8718" width="11.5703125" style="439" customWidth="1"/>
    <col min="8719" max="8719" width="10.28515625" style="439" customWidth="1"/>
    <col min="8720" max="8720" width="11.42578125" style="439" customWidth="1"/>
    <col min="8721" max="8721" width="10.7109375" style="439" customWidth="1"/>
    <col min="8722" max="8722" width="18.5703125" style="439" customWidth="1"/>
    <col min="8723" max="8723" width="7.85546875" style="439" customWidth="1"/>
    <col min="8724" max="8724" width="14.85546875" style="439" customWidth="1"/>
    <col min="8725" max="8732" width="0" style="439" hidden="1" customWidth="1"/>
    <col min="8733" max="8960" width="9.140625" style="439"/>
    <col min="8961" max="8961" width="0.5703125" style="439" customWidth="1"/>
    <col min="8962" max="8962" width="47.5703125" style="439" customWidth="1"/>
    <col min="8963" max="8963" width="6.85546875" style="439" customWidth="1"/>
    <col min="8964" max="8964" width="8" style="439" customWidth="1"/>
    <col min="8965" max="8965" width="9.140625" style="439"/>
    <col min="8966" max="8966" width="7.28515625" style="439" customWidth="1"/>
    <col min="8967" max="8967" width="8.85546875" style="439" customWidth="1"/>
    <col min="8968" max="8968" width="10.5703125" style="439" customWidth="1"/>
    <col min="8969" max="8969" width="10.42578125" style="439" customWidth="1"/>
    <col min="8970" max="8970" width="9.140625" style="439" customWidth="1"/>
    <col min="8971" max="8971" width="11.42578125" style="439" customWidth="1"/>
    <col min="8972" max="8973" width="10.140625" style="439" customWidth="1"/>
    <col min="8974" max="8974" width="11.5703125" style="439" customWidth="1"/>
    <col min="8975" max="8975" width="10.28515625" style="439" customWidth="1"/>
    <col min="8976" max="8976" width="11.42578125" style="439" customWidth="1"/>
    <col min="8977" max="8977" width="10.7109375" style="439" customWidth="1"/>
    <col min="8978" max="8978" width="18.5703125" style="439" customWidth="1"/>
    <col min="8979" max="8979" width="7.85546875" style="439" customWidth="1"/>
    <col min="8980" max="8980" width="14.85546875" style="439" customWidth="1"/>
    <col min="8981" max="8988" width="0" style="439" hidden="1" customWidth="1"/>
    <col min="8989" max="9216" width="9.140625" style="439"/>
    <col min="9217" max="9217" width="0.5703125" style="439" customWidth="1"/>
    <col min="9218" max="9218" width="47.5703125" style="439" customWidth="1"/>
    <col min="9219" max="9219" width="6.85546875" style="439" customWidth="1"/>
    <col min="9220" max="9220" width="8" style="439" customWidth="1"/>
    <col min="9221" max="9221" width="9.140625" style="439"/>
    <col min="9222" max="9222" width="7.28515625" style="439" customWidth="1"/>
    <col min="9223" max="9223" width="8.85546875" style="439" customWidth="1"/>
    <col min="9224" max="9224" width="10.5703125" style="439" customWidth="1"/>
    <col min="9225" max="9225" width="10.42578125" style="439" customWidth="1"/>
    <col min="9226" max="9226" width="9.140625" style="439" customWidth="1"/>
    <col min="9227" max="9227" width="11.42578125" style="439" customWidth="1"/>
    <col min="9228" max="9229" width="10.140625" style="439" customWidth="1"/>
    <col min="9230" max="9230" width="11.5703125" style="439" customWidth="1"/>
    <col min="9231" max="9231" width="10.28515625" style="439" customWidth="1"/>
    <col min="9232" max="9232" width="11.42578125" style="439" customWidth="1"/>
    <col min="9233" max="9233" width="10.7109375" style="439" customWidth="1"/>
    <col min="9234" max="9234" width="18.5703125" style="439" customWidth="1"/>
    <col min="9235" max="9235" width="7.85546875" style="439" customWidth="1"/>
    <col min="9236" max="9236" width="14.85546875" style="439" customWidth="1"/>
    <col min="9237" max="9244" width="0" style="439" hidden="1" customWidth="1"/>
    <col min="9245" max="9472" width="9.140625" style="439"/>
    <col min="9473" max="9473" width="0.5703125" style="439" customWidth="1"/>
    <col min="9474" max="9474" width="47.5703125" style="439" customWidth="1"/>
    <col min="9475" max="9475" width="6.85546875" style="439" customWidth="1"/>
    <col min="9476" max="9476" width="8" style="439" customWidth="1"/>
    <col min="9477" max="9477" width="9.140625" style="439"/>
    <col min="9478" max="9478" width="7.28515625" style="439" customWidth="1"/>
    <col min="9479" max="9479" width="8.85546875" style="439" customWidth="1"/>
    <col min="9480" max="9480" width="10.5703125" style="439" customWidth="1"/>
    <col min="9481" max="9481" width="10.42578125" style="439" customWidth="1"/>
    <col min="9482" max="9482" width="9.140625" style="439" customWidth="1"/>
    <col min="9483" max="9483" width="11.42578125" style="439" customWidth="1"/>
    <col min="9484" max="9485" width="10.140625" style="439" customWidth="1"/>
    <col min="9486" max="9486" width="11.5703125" style="439" customWidth="1"/>
    <col min="9487" max="9487" width="10.28515625" style="439" customWidth="1"/>
    <col min="9488" max="9488" width="11.42578125" style="439" customWidth="1"/>
    <col min="9489" max="9489" width="10.7109375" style="439" customWidth="1"/>
    <col min="9490" max="9490" width="18.5703125" style="439" customWidth="1"/>
    <col min="9491" max="9491" width="7.85546875" style="439" customWidth="1"/>
    <col min="9492" max="9492" width="14.85546875" style="439" customWidth="1"/>
    <col min="9493" max="9500" width="0" style="439" hidden="1" customWidth="1"/>
    <col min="9501" max="9728" width="9.140625" style="439"/>
    <col min="9729" max="9729" width="0.5703125" style="439" customWidth="1"/>
    <col min="9730" max="9730" width="47.5703125" style="439" customWidth="1"/>
    <col min="9731" max="9731" width="6.85546875" style="439" customWidth="1"/>
    <col min="9732" max="9732" width="8" style="439" customWidth="1"/>
    <col min="9733" max="9733" width="9.140625" style="439"/>
    <col min="9734" max="9734" width="7.28515625" style="439" customWidth="1"/>
    <col min="9735" max="9735" width="8.85546875" style="439" customWidth="1"/>
    <col min="9736" max="9736" width="10.5703125" style="439" customWidth="1"/>
    <col min="9737" max="9737" width="10.42578125" style="439" customWidth="1"/>
    <col min="9738" max="9738" width="9.140625" style="439" customWidth="1"/>
    <col min="9739" max="9739" width="11.42578125" style="439" customWidth="1"/>
    <col min="9740" max="9741" width="10.140625" style="439" customWidth="1"/>
    <col min="9742" max="9742" width="11.5703125" style="439" customWidth="1"/>
    <col min="9743" max="9743" width="10.28515625" style="439" customWidth="1"/>
    <col min="9744" max="9744" width="11.42578125" style="439" customWidth="1"/>
    <col min="9745" max="9745" width="10.7109375" style="439" customWidth="1"/>
    <col min="9746" max="9746" width="18.5703125" style="439" customWidth="1"/>
    <col min="9747" max="9747" width="7.85546875" style="439" customWidth="1"/>
    <col min="9748" max="9748" width="14.85546875" style="439" customWidth="1"/>
    <col min="9749" max="9756" width="0" style="439" hidden="1" customWidth="1"/>
    <col min="9757" max="9984" width="9.140625" style="439"/>
    <col min="9985" max="9985" width="0.5703125" style="439" customWidth="1"/>
    <col min="9986" max="9986" width="47.5703125" style="439" customWidth="1"/>
    <col min="9987" max="9987" width="6.85546875" style="439" customWidth="1"/>
    <col min="9988" max="9988" width="8" style="439" customWidth="1"/>
    <col min="9989" max="9989" width="9.140625" style="439"/>
    <col min="9990" max="9990" width="7.28515625" style="439" customWidth="1"/>
    <col min="9991" max="9991" width="8.85546875" style="439" customWidth="1"/>
    <col min="9992" max="9992" width="10.5703125" style="439" customWidth="1"/>
    <col min="9993" max="9993" width="10.42578125" style="439" customWidth="1"/>
    <col min="9994" max="9994" width="9.140625" style="439" customWidth="1"/>
    <col min="9995" max="9995" width="11.42578125" style="439" customWidth="1"/>
    <col min="9996" max="9997" width="10.140625" style="439" customWidth="1"/>
    <col min="9998" max="9998" width="11.5703125" style="439" customWidth="1"/>
    <col min="9999" max="9999" width="10.28515625" style="439" customWidth="1"/>
    <col min="10000" max="10000" width="11.42578125" style="439" customWidth="1"/>
    <col min="10001" max="10001" width="10.7109375" style="439" customWidth="1"/>
    <col min="10002" max="10002" width="18.5703125" style="439" customWidth="1"/>
    <col min="10003" max="10003" width="7.85546875" style="439" customWidth="1"/>
    <col min="10004" max="10004" width="14.85546875" style="439" customWidth="1"/>
    <col min="10005" max="10012" width="0" style="439" hidden="1" customWidth="1"/>
    <col min="10013" max="10240" width="9.140625" style="439"/>
    <col min="10241" max="10241" width="0.5703125" style="439" customWidth="1"/>
    <col min="10242" max="10242" width="47.5703125" style="439" customWidth="1"/>
    <col min="10243" max="10243" width="6.85546875" style="439" customWidth="1"/>
    <col min="10244" max="10244" width="8" style="439" customWidth="1"/>
    <col min="10245" max="10245" width="9.140625" style="439"/>
    <col min="10246" max="10246" width="7.28515625" style="439" customWidth="1"/>
    <col min="10247" max="10247" width="8.85546875" style="439" customWidth="1"/>
    <col min="10248" max="10248" width="10.5703125" style="439" customWidth="1"/>
    <col min="10249" max="10249" width="10.42578125" style="439" customWidth="1"/>
    <col min="10250" max="10250" width="9.140625" style="439" customWidth="1"/>
    <col min="10251" max="10251" width="11.42578125" style="439" customWidth="1"/>
    <col min="10252" max="10253" width="10.140625" style="439" customWidth="1"/>
    <col min="10254" max="10254" width="11.5703125" style="439" customWidth="1"/>
    <col min="10255" max="10255" width="10.28515625" style="439" customWidth="1"/>
    <col min="10256" max="10256" width="11.42578125" style="439" customWidth="1"/>
    <col min="10257" max="10257" width="10.7109375" style="439" customWidth="1"/>
    <col min="10258" max="10258" width="18.5703125" style="439" customWidth="1"/>
    <col min="10259" max="10259" width="7.85546875" style="439" customWidth="1"/>
    <col min="10260" max="10260" width="14.85546875" style="439" customWidth="1"/>
    <col min="10261" max="10268" width="0" style="439" hidden="1" customWidth="1"/>
    <col min="10269" max="10496" width="9.140625" style="439"/>
    <col min="10497" max="10497" width="0.5703125" style="439" customWidth="1"/>
    <col min="10498" max="10498" width="47.5703125" style="439" customWidth="1"/>
    <col min="10499" max="10499" width="6.85546875" style="439" customWidth="1"/>
    <col min="10500" max="10500" width="8" style="439" customWidth="1"/>
    <col min="10501" max="10501" width="9.140625" style="439"/>
    <col min="10502" max="10502" width="7.28515625" style="439" customWidth="1"/>
    <col min="10503" max="10503" width="8.85546875" style="439" customWidth="1"/>
    <col min="10504" max="10504" width="10.5703125" style="439" customWidth="1"/>
    <col min="10505" max="10505" width="10.42578125" style="439" customWidth="1"/>
    <col min="10506" max="10506" width="9.140625" style="439" customWidth="1"/>
    <col min="10507" max="10507" width="11.42578125" style="439" customWidth="1"/>
    <col min="10508" max="10509" width="10.140625" style="439" customWidth="1"/>
    <col min="10510" max="10510" width="11.5703125" style="439" customWidth="1"/>
    <col min="10511" max="10511" width="10.28515625" style="439" customWidth="1"/>
    <col min="10512" max="10512" width="11.42578125" style="439" customWidth="1"/>
    <col min="10513" max="10513" width="10.7109375" style="439" customWidth="1"/>
    <col min="10514" max="10514" width="18.5703125" style="439" customWidth="1"/>
    <col min="10515" max="10515" width="7.85546875" style="439" customWidth="1"/>
    <col min="10516" max="10516" width="14.85546875" style="439" customWidth="1"/>
    <col min="10517" max="10524" width="0" style="439" hidden="1" customWidth="1"/>
    <col min="10525" max="10752" width="9.140625" style="439"/>
    <col min="10753" max="10753" width="0.5703125" style="439" customWidth="1"/>
    <col min="10754" max="10754" width="47.5703125" style="439" customWidth="1"/>
    <col min="10755" max="10755" width="6.85546875" style="439" customWidth="1"/>
    <col min="10756" max="10756" width="8" style="439" customWidth="1"/>
    <col min="10757" max="10757" width="9.140625" style="439"/>
    <col min="10758" max="10758" width="7.28515625" style="439" customWidth="1"/>
    <col min="10759" max="10759" width="8.85546875" style="439" customWidth="1"/>
    <col min="10760" max="10760" width="10.5703125" style="439" customWidth="1"/>
    <col min="10761" max="10761" width="10.42578125" style="439" customWidth="1"/>
    <col min="10762" max="10762" width="9.140625" style="439" customWidth="1"/>
    <col min="10763" max="10763" width="11.42578125" style="439" customWidth="1"/>
    <col min="10764" max="10765" width="10.140625" style="439" customWidth="1"/>
    <col min="10766" max="10766" width="11.5703125" style="439" customWidth="1"/>
    <col min="10767" max="10767" width="10.28515625" style="439" customWidth="1"/>
    <col min="10768" max="10768" width="11.42578125" style="439" customWidth="1"/>
    <col min="10769" max="10769" width="10.7109375" style="439" customWidth="1"/>
    <col min="10770" max="10770" width="18.5703125" style="439" customWidth="1"/>
    <col min="10771" max="10771" width="7.85546875" style="439" customWidth="1"/>
    <col min="10772" max="10772" width="14.85546875" style="439" customWidth="1"/>
    <col min="10773" max="10780" width="0" style="439" hidden="1" customWidth="1"/>
    <col min="10781" max="11008" width="9.140625" style="439"/>
    <col min="11009" max="11009" width="0.5703125" style="439" customWidth="1"/>
    <col min="11010" max="11010" width="47.5703125" style="439" customWidth="1"/>
    <col min="11011" max="11011" width="6.85546875" style="439" customWidth="1"/>
    <col min="11012" max="11012" width="8" style="439" customWidth="1"/>
    <col min="11013" max="11013" width="9.140625" style="439"/>
    <col min="11014" max="11014" width="7.28515625" style="439" customWidth="1"/>
    <col min="11015" max="11015" width="8.85546875" style="439" customWidth="1"/>
    <col min="11016" max="11016" width="10.5703125" style="439" customWidth="1"/>
    <col min="11017" max="11017" width="10.42578125" style="439" customWidth="1"/>
    <col min="11018" max="11018" width="9.140625" style="439" customWidth="1"/>
    <col min="11019" max="11019" width="11.42578125" style="439" customWidth="1"/>
    <col min="11020" max="11021" width="10.140625" style="439" customWidth="1"/>
    <col min="11022" max="11022" width="11.5703125" style="439" customWidth="1"/>
    <col min="11023" max="11023" width="10.28515625" style="439" customWidth="1"/>
    <col min="11024" max="11024" width="11.42578125" style="439" customWidth="1"/>
    <col min="11025" max="11025" width="10.7109375" style="439" customWidth="1"/>
    <col min="11026" max="11026" width="18.5703125" style="439" customWidth="1"/>
    <col min="11027" max="11027" width="7.85546875" style="439" customWidth="1"/>
    <col min="11028" max="11028" width="14.85546875" style="439" customWidth="1"/>
    <col min="11029" max="11036" width="0" style="439" hidden="1" customWidth="1"/>
    <col min="11037" max="11264" width="9.140625" style="439"/>
    <col min="11265" max="11265" width="0.5703125" style="439" customWidth="1"/>
    <col min="11266" max="11266" width="47.5703125" style="439" customWidth="1"/>
    <col min="11267" max="11267" width="6.85546875" style="439" customWidth="1"/>
    <col min="11268" max="11268" width="8" style="439" customWidth="1"/>
    <col min="11269" max="11269" width="9.140625" style="439"/>
    <col min="11270" max="11270" width="7.28515625" style="439" customWidth="1"/>
    <col min="11271" max="11271" width="8.85546875" style="439" customWidth="1"/>
    <col min="11272" max="11272" width="10.5703125" style="439" customWidth="1"/>
    <col min="11273" max="11273" width="10.42578125" style="439" customWidth="1"/>
    <col min="11274" max="11274" width="9.140625" style="439" customWidth="1"/>
    <col min="11275" max="11275" width="11.42578125" style="439" customWidth="1"/>
    <col min="11276" max="11277" width="10.140625" style="439" customWidth="1"/>
    <col min="11278" max="11278" width="11.5703125" style="439" customWidth="1"/>
    <col min="11279" max="11279" width="10.28515625" style="439" customWidth="1"/>
    <col min="11280" max="11280" width="11.42578125" style="439" customWidth="1"/>
    <col min="11281" max="11281" width="10.7109375" style="439" customWidth="1"/>
    <col min="11282" max="11282" width="18.5703125" style="439" customWidth="1"/>
    <col min="11283" max="11283" width="7.85546875" style="439" customWidth="1"/>
    <col min="11284" max="11284" width="14.85546875" style="439" customWidth="1"/>
    <col min="11285" max="11292" width="0" style="439" hidden="1" customWidth="1"/>
    <col min="11293" max="11520" width="9.140625" style="439"/>
    <col min="11521" max="11521" width="0.5703125" style="439" customWidth="1"/>
    <col min="11522" max="11522" width="47.5703125" style="439" customWidth="1"/>
    <col min="11523" max="11523" width="6.85546875" style="439" customWidth="1"/>
    <col min="11524" max="11524" width="8" style="439" customWidth="1"/>
    <col min="11525" max="11525" width="9.140625" style="439"/>
    <col min="11526" max="11526" width="7.28515625" style="439" customWidth="1"/>
    <col min="11527" max="11527" width="8.85546875" style="439" customWidth="1"/>
    <col min="11528" max="11528" width="10.5703125" style="439" customWidth="1"/>
    <col min="11529" max="11529" width="10.42578125" style="439" customWidth="1"/>
    <col min="11530" max="11530" width="9.140625" style="439" customWidth="1"/>
    <col min="11531" max="11531" width="11.42578125" style="439" customWidth="1"/>
    <col min="11532" max="11533" width="10.140625" style="439" customWidth="1"/>
    <col min="11534" max="11534" width="11.5703125" style="439" customWidth="1"/>
    <col min="11535" max="11535" width="10.28515625" style="439" customWidth="1"/>
    <col min="11536" max="11536" width="11.42578125" style="439" customWidth="1"/>
    <col min="11537" max="11537" width="10.7109375" style="439" customWidth="1"/>
    <col min="11538" max="11538" width="18.5703125" style="439" customWidth="1"/>
    <col min="11539" max="11539" width="7.85546875" style="439" customWidth="1"/>
    <col min="11540" max="11540" width="14.85546875" style="439" customWidth="1"/>
    <col min="11541" max="11548" width="0" style="439" hidden="1" customWidth="1"/>
    <col min="11549" max="11776" width="9.140625" style="439"/>
    <col min="11777" max="11777" width="0.5703125" style="439" customWidth="1"/>
    <col min="11778" max="11778" width="47.5703125" style="439" customWidth="1"/>
    <col min="11779" max="11779" width="6.85546875" style="439" customWidth="1"/>
    <col min="11780" max="11780" width="8" style="439" customWidth="1"/>
    <col min="11781" max="11781" width="9.140625" style="439"/>
    <col min="11782" max="11782" width="7.28515625" style="439" customWidth="1"/>
    <col min="11783" max="11783" width="8.85546875" style="439" customWidth="1"/>
    <col min="11784" max="11784" width="10.5703125" style="439" customWidth="1"/>
    <col min="11785" max="11785" width="10.42578125" style="439" customWidth="1"/>
    <col min="11786" max="11786" width="9.140625" style="439" customWidth="1"/>
    <col min="11787" max="11787" width="11.42578125" style="439" customWidth="1"/>
    <col min="11788" max="11789" width="10.140625" style="439" customWidth="1"/>
    <col min="11790" max="11790" width="11.5703125" style="439" customWidth="1"/>
    <col min="11791" max="11791" width="10.28515625" style="439" customWidth="1"/>
    <col min="11792" max="11792" width="11.42578125" style="439" customWidth="1"/>
    <col min="11793" max="11793" width="10.7109375" style="439" customWidth="1"/>
    <col min="11794" max="11794" width="18.5703125" style="439" customWidth="1"/>
    <col min="11795" max="11795" width="7.85546875" style="439" customWidth="1"/>
    <col min="11796" max="11796" width="14.85546875" style="439" customWidth="1"/>
    <col min="11797" max="11804" width="0" style="439" hidden="1" customWidth="1"/>
    <col min="11805" max="12032" width="9.140625" style="439"/>
    <col min="12033" max="12033" width="0.5703125" style="439" customWidth="1"/>
    <col min="12034" max="12034" width="47.5703125" style="439" customWidth="1"/>
    <col min="12035" max="12035" width="6.85546875" style="439" customWidth="1"/>
    <col min="12036" max="12036" width="8" style="439" customWidth="1"/>
    <col min="12037" max="12037" width="9.140625" style="439"/>
    <col min="12038" max="12038" width="7.28515625" style="439" customWidth="1"/>
    <col min="12039" max="12039" width="8.85546875" style="439" customWidth="1"/>
    <col min="12040" max="12040" width="10.5703125" style="439" customWidth="1"/>
    <col min="12041" max="12041" width="10.42578125" style="439" customWidth="1"/>
    <col min="12042" max="12042" width="9.140625" style="439" customWidth="1"/>
    <col min="12043" max="12043" width="11.42578125" style="439" customWidth="1"/>
    <col min="12044" max="12045" width="10.140625" style="439" customWidth="1"/>
    <col min="12046" max="12046" width="11.5703125" style="439" customWidth="1"/>
    <col min="12047" max="12047" width="10.28515625" style="439" customWidth="1"/>
    <col min="12048" max="12048" width="11.42578125" style="439" customWidth="1"/>
    <col min="12049" max="12049" width="10.7109375" style="439" customWidth="1"/>
    <col min="12050" max="12050" width="18.5703125" style="439" customWidth="1"/>
    <col min="12051" max="12051" width="7.85546875" style="439" customWidth="1"/>
    <col min="12052" max="12052" width="14.85546875" style="439" customWidth="1"/>
    <col min="12053" max="12060" width="0" style="439" hidden="1" customWidth="1"/>
    <col min="12061" max="12288" width="9.140625" style="439"/>
    <col min="12289" max="12289" width="0.5703125" style="439" customWidth="1"/>
    <col min="12290" max="12290" width="47.5703125" style="439" customWidth="1"/>
    <col min="12291" max="12291" width="6.85546875" style="439" customWidth="1"/>
    <col min="12292" max="12292" width="8" style="439" customWidth="1"/>
    <col min="12293" max="12293" width="9.140625" style="439"/>
    <col min="12294" max="12294" width="7.28515625" style="439" customWidth="1"/>
    <col min="12295" max="12295" width="8.85546875" style="439" customWidth="1"/>
    <col min="12296" max="12296" width="10.5703125" style="439" customWidth="1"/>
    <col min="12297" max="12297" width="10.42578125" style="439" customWidth="1"/>
    <col min="12298" max="12298" width="9.140625" style="439" customWidth="1"/>
    <col min="12299" max="12299" width="11.42578125" style="439" customWidth="1"/>
    <col min="12300" max="12301" width="10.140625" style="439" customWidth="1"/>
    <col min="12302" max="12302" width="11.5703125" style="439" customWidth="1"/>
    <col min="12303" max="12303" width="10.28515625" style="439" customWidth="1"/>
    <col min="12304" max="12304" width="11.42578125" style="439" customWidth="1"/>
    <col min="12305" max="12305" width="10.7109375" style="439" customWidth="1"/>
    <col min="12306" max="12306" width="18.5703125" style="439" customWidth="1"/>
    <col min="12307" max="12307" width="7.85546875" style="439" customWidth="1"/>
    <col min="12308" max="12308" width="14.85546875" style="439" customWidth="1"/>
    <col min="12309" max="12316" width="0" style="439" hidden="1" customWidth="1"/>
    <col min="12317" max="12544" width="9.140625" style="439"/>
    <col min="12545" max="12545" width="0.5703125" style="439" customWidth="1"/>
    <col min="12546" max="12546" width="47.5703125" style="439" customWidth="1"/>
    <col min="12547" max="12547" width="6.85546875" style="439" customWidth="1"/>
    <col min="12548" max="12548" width="8" style="439" customWidth="1"/>
    <col min="12549" max="12549" width="9.140625" style="439"/>
    <col min="12550" max="12550" width="7.28515625" style="439" customWidth="1"/>
    <col min="12551" max="12551" width="8.85546875" style="439" customWidth="1"/>
    <col min="12552" max="12552" width="10.5703125" style="439" customWidth="1"/>
    <col min="12553" max="12553" width="10.42578125" style="439" customWidth="1"/>
    <col min="12554" max="12554" width="9.140625" style="439" customWidth="1"/>
    <col min="12555" max="12555" width="11.42578125" style="439" customWidth="1"/>
    <col min="12556" max="12557" width="10.140625" style="439" customWidth="1"/>
    <col min="12558" max="12558" width="11.5703125" style="439" customWidth="1"/>
    <col min="12559" max="12559" width="10.28515625" style="439" customWidth="1"/>
    <col min="12560" max="12560" width="11.42578125" style="439" customWidth="1"/>
    <col min="12561" max="12561" width="10.7109375" style="439" customWidth="1"/>
    <col min="12562" max="12562" width="18.5703125" style="439" customWidth="1"/>
    <col min="12563" max="12563" width="7.85546875" style="439" customWidth="1"/>
    <col min="12564" max="12564" width="14.85546875" style="439" customWidth="1"/>
    <col min="12565" max="12572" width="0" style="439" hidden="1" customWidth="1"/>
    <col min="12573" max="12800" width="9.140625" style="439"/>
    <col min="12801" max="12801" width="0.5703125" style="439" customWidth="1"/>
    <col min="12802" max="12802" width="47.5703125" style="439" customWidth="1"/>
    <col min="12803" max="12803" width="6.85546875" style="439" customWidth="1"/>
    <col min="12804" max="12804" width="8" style="439" customWidth="1"/>
    <col min="12805" max="12805" width="9.140625" style="439"/>
    <col min="12806" max="12806" width="7.28515625" style="439" customWidth="1"/>
    <col min="12807" max="12807" width="8.85546875" style="439" customWidth="1"/>
    <col min="12808" max="12808" width="10.5703125" style="439" customWidth="1"/>
    <col min="12809" max="12809" width="10.42578125" style="439" customWidth="1"/>
    <col min="12810" max="12810" width="9.140625" style="439" customWidth="1"/>
    <col min="12811" max="12811" width="11.42578125" style="439" customWidth="1"/>
    <col min="12812" max="12813" width="10.140625" style="439" customWidth="1"/>
    <col min="12814" max="12814" width="11.5703125" style="439" customWidth="1"/>
    <col min="12815" max="12815" width="10.28515625" style="439" customWidth="1"/>
    <col min="12816" max="12816" width="11.42578125" style="439" customWidth="1"/>
    <col min="12817" max="12817" width="10.7109375" style="439" customWidth="1"/>
    <col min="12818" max="12818" width="18.5703125" style="439" customWidth="1"/>
    <col min="12819" max="12819" width="7.85546875" style="439" customWidth="1"/>
    <col min="12820" max="12820" width="14.85546875" style="439" customWidth="1"/>
    <col min="12821" max="12828" width="0" style="439" hidden="1" customWidth="1"/>
    <col min="12829" max="13056" width="9.140625" style="439"/>
    <col min="13057" max="13057" width="0.5703125" style="439" customWidth="1"/>
    <col min="13058" max="13058" width="47.5703125" style="439" customWidth="1"/>
    <col min="13059" max="13059" width="6.85546875" style="439" customWidth="1"/>
    <col min="13060" max="13060" width="8" style="439" customWidth="1"/>
    <col min="13061" max="13061" width="9.140625" style="439"/>
    <col min="13062" max="13062" width="7.28515625" style="439" customWidth="1"/>
    <col min="13063" max="13063" width="8.85546875" style="439" customWidth="1"/>
    <col min="13064" max="13064" width="10.5703125" style="439" customWidth="1"/>
    <col min="13065" max="13065" width="10.42578125" style="439" customWidth="1"/>
    <col min="13066" max="13066" width="9.140625" style="439" customWidth="1"/>
    <col min="13067" max="13067" width="11.42578125" style="439" customWidth="1"/>
    <col min="13068" max="13069" width="10.140625" style="439" customWidth="1"/>
    <col min="13070" max="13070" width="11.5703125" style="439" customWidth="1"/>
    <col min="13071" max="13071" width="10.28515625" style="439" customWidth="1"/>
    <col min="13072" max="13072" width="11.42578125" style="439" customWidth="1"/>
    <col min="13073" max="13073" width="10.7109375" style="439" customWidth="1"/>
    <col min="13074" max="13074" width="18.5703125" style="439" customWidth="1"/>
    <col min="13075" max="13075" width="7.85546875" style="439" customWidth="1"/>
    <col min="13076" max="13076" width="14.85546875" style="439" customWidth="1"/>
    <col min="13077" max="13084" width="0" style="439" hidden="1" customWidth="1"/>
    <col min="13085" max="13312" width="9.140625" style="439"/>
    <col min="13313" max="13313" width="0.5703125" style="439" customWidth="1"/>
    <col min="13314" max="13314" width="47.5703125" style="439" customWidth="1"/>
    <col min="13315" max="13315" width="6.85546875" style="439" customWidth="1"/>
    <col min="13316" max="13316" width="8" style="439" customWidth="1"/>
    <col min="13317" max="13317" width="9.140625" style="439"/>
    <col min="13318" max="13318" width="7.28515625" style="439" customWidth="1"/>
    <col min="13319" max="13319" width="8.85546875" style="439" customWidth="1"/>
    <col min="13320" max="13320" width="10.5703125" style="439" customWidth="1"/>
    <col min="13321" max="13321" width="10.42578125" style="439" customWidth="1"/>
    <col min="13322" max="13322" width="9.140625" style="439" customWidth="1"/>
    <col min="13323" max="13323" width="11.42578125" style="439" customWidth="1"/>
    <col min="13324" max="13325" width="10.140625" style="439" customWidth="1"/>
    <col min="13326" max="13326" width="11.5703125" style="439" customWidth="1"/>
    <col min="13327" max="13327" width="10.28515625" style="439" customWidth="1"/>
    <col min="13328" max="13328" width="11.42578125" style="439" customWidth="1"/>
    <col min="13329" max="13329" width="10.7109375" style="439" customWidth="1"/>
    <col min="13330" max="13330" width="18.5703125" style="439" customWidth="1"/>
    <col min="13331" max="13331" width="7.85546875" style="439" customWidth="1"/>
    <col min="13332" max="13332" width="14.85546875" style="439" customWidth="1"/>
    <col min="13333" max="13340" width="0" style="439" hidden="1" customWidth="1"/>
    <col min="13341" max="13568" width="9.140625" style="439"/>
    <col min="13569" max="13569" width="0.5703125" style="439" customWidth="1"/>
    <col min="13570" max="13570" width="47.5703125" style="439" customWidth="1"/>
    <col min="13571" max="13571" width="6.85546875" style="439" customWidth="1"/>
    <col min="13572" max="13572" width="8" style="439" customWidth="1"/>
    <col min="13573" max="13573" width="9.140625" style="439"/>
    <col min="13574" max="13574" width="7.28515625" style="439" customWidth="1"/>
    <col min="13575" max="13575" width="8.85546875" style="439" customWidth="1"/>
    <col min="13576" max="13576" width="10.5703125" style="439" customWidth="1"/>
    <col min="13577" max="13577" width="10.42578125" style="439" customWidth="1"/>
    <col min="13578" max="13578" width="9.140625" style="439" customWidth="1"/>
    <col min="13579" max="13579" width="11.42578125" style="439" customWidth="1"/>
    <col min="13580" max="13581" width="10.140625" style="439" customWidth="1"/>
    <col min="13582" max="13582" width="11.5703125" style="439" customWidth="1"/>
    <col min="13583" max="13583" width="10.28515625" style="439" customWidth="1"/>
    <col min="13584" max="13584" width="11.42578125" style="439" customWidth="1"/>
    <col min="13585" max="13585" width="10.7109375" style="439" customWidth="1"/>
    <col min="13586" max="13586" width="18.5703125" style="439" customWidth="1"/>
    <col min="13587" max="13587" width="7.85546875" style="439" customWidth="1"/>
    <col min="13588" max="13588" width="14.85546875" style="439" customWidth="1"/>
    <col min="13589" max="13596" width="0" style="439" hidden="1" customWidth="1"/>
    <col min="13597" max="13824" width="9.140625" style="439"/>
    <col min="13825" max="13825" width="0.5703125" style="439" customWidth="1"/>
    <col min="13826" max="13826" width="47.5703125" style="439" customWidth="1"/>
    <col min="13827" max="13827" width="6.85546875" style="439" customWidth="1"/>
    <col min="13828" max="13828" width="8" style="439" customWidth="1"/>
    <col min="13829" max="13829" width="9.140625" style="439"/>
    <col min="13830" max="13830" width="7.28515625" style="439" customWidth="1"/>
    <col min="13831" max="13831" width="8.85546875" style="439" customWidth="1"/>
    <col min="13832" max="13832" width="10.5703125" style="439" customWidth="1"/>
    <col min="13833" max="13833" width="10.42578125" style="439" customWidth="1"/>
    <col min="13834" max="13834" width="9.140625" style="439" customWidth="1"/>
    <col min="13835" max="13835" width="11.42578125" style="439" customWidth="1"/>
    <col min="13836" max="13837" width="10.140625" style="439" customWidth="1"/>
    <col min="13838" max="13838" width="11.5703125" style="439" customWidth="1"/>
    <col min="13839" max="13839" width="10.28515625" style="439" customWidth="1"/>
    <col min="13840" max="13840" width="11.42578125" style="439" customWidth="1"/>
    <col min="13841" max="13841" width="10.7109375" style="439" customWidth="1"/>
    <col min="13842" max="13842" width="18.5703125" style="439" customWidth="1"/>
    <col min="13843" max="13843" width="7.85546875" style="439" customWidth="1"/>
    <col min="13844" max="13844" width="14.85546875" style="439" customWidth="1"/>
    <col min="13845" max="13852" width="0" style="439" hidden="1" customWidth="1"/>
    <col min="13853" max="14080" width="9.140625" style="439"/>
    <col min="14081" max="14081" width="0.5703125" style="439" customWidth="1"/>
    <col min="14082" max="14082" width="47.5703125" style="439" customWidth="1"/>
    <col min="14083" max="14083" width="6.85546875" style="439" customWidth="1"/>
    <col min="14084" max="14084" width="8" style="439" customWidth="1"/>
    <col min="14085" max="14085" width="9.140625" style="439"/>
    <col min="14086" max="14086" width="7.28515625" style="439" customWidth="1"/>
    <col min="14087" max="14087" width="8.85546875" style="439" customWidth="1"/>
    <col min="14088" max="14088" width="10.5703125" style="439" customWidth="1"/>
    <col min="14089" max="14089" width="10.42578125" style="439" customWidth="1"/>
    <col min="14090" max="14090" width="9.140625" style="439" customWidth="1"/>
    <col min="14091" max="14091" width="11.42578125" style="439" customWidth="1"/>
    <col min="14092" max="14093" width="10.140625" style="439" customWidth="1"/>
    <col min="14094" max="14094" width="11.5703125" style="439" customWidth="1"/>
    <col min="14095" max="14095" width="10.28515625" style="439" customWidth="1"/>
    <col min="14096" max="14096" width="11.42578125" style="439" customWidth="1"/>
    <col min="14097" max="14097" width="10.7109375" style="439" customWidth="1"/>
    <col min="14098" max="14098" width="18.5703125" style="439" customWidth="1"/>
    <col min="14099" max="14099" width="7.85546875" style="439" customWidth="1"/>
    <col min="14100" max="14100" width="14.85546875" style="439" customWidth="1"/>
    <col min="14101" max="14108" width="0" style="439" hidden="1" customWidth="1"/>
    <col min="14109" max="14336" width="9.140625" style="439"/>
    <col min="14337" max="14337" width="0.5703125" style="439" customWidth="1"/>
    <col min="14338" max="14338" width="47.5703125" style="439" customWidth="1"/>
    <col min="14339" max="14339" width="6.85546875" style="439" customWidth="1"/>
    <col min="14340" max="14340" width="8" style="439" customWidth="1"/>
    <col min="14341" max="14341" width="9.140625" style="439"/>
    <col min="14342" max="14342" width="7.28515625" style="439" customWidth="1"/>
    <col min="14343" max="14343" width="8.85546875" style="439" customWidth="1"/>
    <col min="14344" max="14344" width="10.5703125" style="439" customWidth="1"/>
    <col min="14345" max="14345" width="10.42578125" style="439" customWidth="1"/>
    <col min="14346" max="14346" width="9.140625" style="439" customWidth="1"/>
    <col min="14347" max="14347" width="11.42578125" style="439" customWidth="1"/>
    <col min="14348" max="14349" width="10.140625" style="439" customWidth="1"/>
    <col min="14350" max="14350" width="11.5703125" style="439" customWidth="1"/>
    <col min="14351" max="14351" width="10.28515625" style="439" customWidth="1"/>
    <col min="14352" max="14352" width="11.42578125" style="439" customWidth="1"/>
    <col min="14353" max="14353" width="10.7109375" style="439" customWidth="1"/>
    <col min="14354" max="14354" width="18.5703125" style="439" customWidth="1"/>
    <col min="14355" max="14355" width="7.85546875" style="439" customWidth="1"/>
    <col min="14356" max="14356" width="14.85546875" style="439" customWidth="1"/>
    <col min="14357" max="14364" width="0" style="439" hidden="1" customWidth="1"/>
    <col min="14365" max="14592" width="9.140625" style="439"/>
    <col min="14593" max="14593" width="0.5703125" style="439" customWidth="1"/>
    <col min="14594" max="14594" width="47.5703125" style="439" customWidth="1"/>
    <col min="14595" max="14595" width="6.85546875" style="439" customWidth="1"/>
    <col min="14596" max="14596" width="8" style="439" customWidth="1"/>
    <col min="14597" max="14597" width="9.140625" style="439"/>
    <col min="14598" max="14598" width="7.28515625" style="439" customWidth="1"/>
    <col min="14599" max="14599" width="8.85546875" style="439" customWidth="1"/>
    <col min="14600" max="14600" width="10.5703125" style="439" customWidth="1"/>
    <col min="14601" max="14601" width="10.42578125" style="439" customWidth="1"/>
    <col min="14602" max="14602" width="9.140625" style="439" customWidth="1"/>
    <col min="14603" max="14603" width="11.42578125" style="439" customWidth="1"/>
    <col min="14604" max="14605" width="10.140625" style="439" customWidth="1"/>
    <col min="14606" max="14606" width="11.5703125" style="439" customWidth="1"/>
    <col min="14607" max="14607" width="10.28515625" style="439" customWidth="1"/>
    <col min="14608" max="14608" width="11.42578125" style="439" customWidth="1"/>
    <col min="14609" max="14609" width="10.7109375" style="439" customWidth="1"/>
    <col min="14610" max="14610" width="18.5703125" style="439" customWidth="1"/>
    <col min="14611" max="14611" width="7.85546875" style="439" customWidth="1"/>
    <col min="14612" max="14612" width="14.85546875" style="439" customWidth="1"/>
    <col min="14613" max="14620" width="0" style="439" hidden="1" customWidth="1"/>
    <col min="14621" max="14848" width="9.140625" style="439"/>
    <col min="14849" max="14849" width="0.5703125" style="439" customWidth="1"/>
    <col min="14850" max="14850" width="47.5703125" style="439" customWidth="1"/>
    <col min="14851" max="14851" width="6.85546875" style="439" customWidth="1"/>
    <col min="14852" max="14852" width="8" style="439" customWidth="1"/>
    <col min="14853" max="14853" width="9.140625" style="439"/>
    <col min="14854" max="14854" width="7.28515625" style="439" customWidth="1"/>
    <col min="14855" max="14855" width="8.85546875" style="439" customWidth="1"/>
    <col min="14856" max="14856" width="10.5703125" style="439" customWidth="1"/>
    <col min="14857" max="14857" width="10.42578125" style="439" customWidth="1"/>
    <col min="14858" max="14858" width="9.140625" style="439" customWidth="1"/>
    <col min="14859" max="14859" width="11.42578125" style="439" customWidth="1"/>
    <col min="14860" max="14861" width="10.140625" style="439" customWidth="1"/>
    <col min="14862" max="14862" width="11.5703125" style="439" customWidth="1"/>
    <col min="14863" max="14863" width="10.28515625" style="439" customWidth="1"/>
    <col min="14864" max="14864" width="11.42578125" style="439" customWidth="1"/>
    <col min="14865" max="14865" width="10.7109375" style="439" customWidth="1"/>
    <col min="14866" max="14866" width="18.5703125" style="439" customWidth="1"/>
    <col min="14867" max="14867" width="7.85546875" style="439" customWidth="1"/>
    <col min="14868" max="14868" width="14.85546875" style="439" customWidth="1"/>
    <col min="14869" max="14876" width="0" style="439" hidden="1" customWidth="1"/>
    <col min="14877" max="15104" width="9.140625" style="439"/>
    <col min="15105" max="15105" width="0.5703125" style="439" customWidth="1"/>
    <col min="15106" max="15106" width="47.5703125" style="439" customWidth="1"/>
    <col min="15107" max="15107" width="6.85546875" style="439" customWidth="1"/>
    <col min="15108" max="15108" width="8" style="439" customWidth="1"/>
    <col min="15109" max="15109" width="9.140625" style="439"/>
    <col min="15110" max="15110" width="7.28515625" style="439" customWidth="1"/>
    <col min="15111" max="15111" width="8.85546875" style="439" customWidth="1"/>
    <col min="15112" max="15112" width="10.5703125" style="439" customWidth="1"/>
    <col min="15113" max="15113" width="10.42578125" style="439" customWidth="1"/>
    <col min="15114" max="15114" width="9.140625" style="439" customWidth="1"/>
    <col min="15115" max="15115" width="11.42578125" style="439" customWidth="1"/>
    <col min="15116" max="15117" width="10.140625" style="439" customWidth="1"/>
    <col min="15118" max="15118" width="11.5703125" style="439" customWidth="1"/>
    <col min="15119" max="15119" width="10.28515625" style="439" customWidth="1"/>
    <col min="15120" max="15120" width="11.42578125" style="439" customWidth="1"/>
    <col min="15121" max="15121" width="10.7109375" style="439" customWidth="1"/>
    <col min="15122" max="15122" width="18.5703125" style="439" customWidth="1"/>
    <col min="15123" max="15123" width="7.85546875" style="439" customWidth="1"/>
    <col min="15124" max="15124" width="14.85546875" style="439" customWidth="1"/>
    <col min="15125" max="15132" width="0" style="439" hidden="1" customWidth="1"/>
    <col min="15133" max="15360" width="9.140625" style="439"/>
    <col min="15361" max="15361" width="0.5703125" style="439" customWidth="1"/>
    <col min="15362" max="15362" width="47.5703125" style="439" customWidth="1"/>
    <col min="15363" max="15363" width="6.85546875" style="439" customWidth="1"/>
    <col min="15364" max="15364" width="8" style="439" customWidth="1"/>
    <col min="15365" max="15365" width="9.140625" style="439"/>
    <col min="15366" max="15366" width="7.28515625" style="439" customWidth="1"/>
    <col min="15367" max="15367" width="8.85546875" style="439" customWidth="1"/>
    <col min="15368" max="15368" width="10.5703125" style="439" customWidth="1"/>
    <col min="15369" max="15369" width="10.42578125" style="439" customWidth="1"/>
    <col min="15370" max="15370" width="9.140625" style="439" customWidth="1"/>
    <col min="15371" max="15371" width="11.42578125" style="439" customWidth="1"/>
    <col min="15372" max="15373" width="10.140625" style="439" customWidth="1"/>
    <col min="15374" max="15374" width="11.5703125" style="439" customWidth="1"/>
    <col min="15375" max="15375" width="10.28515625" style="439" customWidth="1"/>
    <col min="15376" max="15376" width="11.42578125" style="439" customWidth="1"/>
    <col min="15377" max="15377" width="10.7109375" style="439" customWidth="1"/>
    <col min="15378" max="15378" width="18.5703125" style="439" customWidth="1"/>
    <col min="15379" max="15379" width="7.85546875" style="439" customWidth="1"/>
    <col min="15380" max="15380" width="14.85546875" style="439" customWidth="1"/>
    <col min="15381" max="15388" width="0" style="439" hidden="1" customWidth="1"/>
    <col min="15389" max="15616" width="9.140625" style="439"/>
    <col min="15617" max="15617" width="0.5703125" style="439" customWidth="1"/>
    <col min="15618" max="15618" width="47.5703125" style="439" customWidth="1"/>
    <col min="15619" max="15619" width="6.85546875" style="439" customWidth="1"/>
    <col min="15620" max="15620" width="8" style="439" customWidth="1"/>
    <col min="15621" max="15621" width="9.140625" style="439"/>
    <col min="15622" max="15622" width="7.28515625" style="439" customWidth="1"/>
    <col min="15623" max="15623" width="8.85546875" style="439" customWidth="1"/>
    <col min="15624" max="15624" width="10.5703125" style="439" customWidth="1"/>
    <col min="15625" max="15625" width="10.42578125" style="439" customWidth="1"/>
    <col min="15626" max="15626" width="9.140625" style="439" customWidth="1"/>
    <col min="15627" max="15627" width="11.42578125" style="439" customWidth="1"/>
    <col min="15628" max="15629" width="10.140625" style="439" customWidth="1"/>
    <col min="15630" max="15630" width="11.5703125" style="439" customWidth="1"/>
    <col min="15631" max="15631" width="10.28515625" style="439" customWidth="1"/>
    <col min="15632" max="15632" width="11.42578125" style="439" customWidth="1"/>
    <col min="15633" max="15633" width="10.7109375" style="439" customWidth="1"/>
    <col min="15634" max="15634" width="18.5703125" style="439" customWidth="1"/>
    <col min="15635" max="15635" width="7.85546875" style="439" customWidth="1"/>
    <col min="15636" max="15636" width="14.85546875" style="439" customWidth="1"/>
    <col min="15637" max="15644" width="0" style="439" hidden="1" customWidth="1"/>
    <col min="15645" max="15872" width="9.140625" style="439"/>
    <col min="15873" max="15873" width="0.5703125" style="439" customWidth="1"/>
    <col min="15874" max="15874" width="47.5703125" style="439" customWidth="1"/>
    <col min="15875" max="15875" width="6.85546875" style="439" customWidth="1"/>
    <col min="15876" max="15876" width="8" style="439" customWidth="1"/>
    <col min="15877" max="15877" width="9.140625" style="439"/>
    <col min="15878" max="15878" width="7.28515625" style="439" customWidth="1"/>
    <col min="15879" max="15879" width="8.85546875" style="439" customWidth="1"/>
    <col min="15880" max="15880" width="10.5703125" style="439" customWidth="1"/>
    <col min="15881" max="15881" width="10.42578125" style="439" customWidth="1"/>
    <col min="15882" max="15882" width="9.140625" style="439" customWidth="1"/>
    <col min="15883" max="15883" width="11.42578125" style="439" customWidth="1"/>
    <col min="15884" max="15885" width="10.140625" style="439" customWidth="1"/>
    <col min="15886" max="15886" width="11.5703125" style="439" customWidth="1"/>
    <col min="15887" max="15887" width="10.28515625" style="439" customWidth="1"/>
    <col min="15888" max="15888" width="11.42578125" style="439" customWidth="1"/>
    <col min="15889" max="15889" width="10.7109375" style="439" customWidth="1"/>
    <col min="15890" max="15890" width="18.5703125" style="439" customWidth="1"/>
    <col min="15891" max="15891" width="7.85546875" style="439" customWidth="1"/>
    <col min="15892" max="15892" width="14.85546875" style="439" customWidth="1"/>
    <col min="15893" max="15900" width="0" style="439" hidden="1" customWidth="1"/>
    <col min="15901" max="16128" width="9.140625" style="439"/>
    <col min="16129" max="16129" width="0.5703125" style="439" customWidth="1"/>
    <col min="16130" max="16130" width="47.5703125" style="439" customWidth="1"/>
    <col min="16131" max="16131" width="6.85546875" style="439" customWidth="1"/>
    <col min="16132" max="16132" width="8" style="439" customWidth="1"/>
    <col min="16133" max="16133" width="9.140625" style="439"/>
    <col min="16134" max="16134" width="7.28515625" style="439" customWidth="1"/>
    <col min="16135" max="16135" width="8.85546875" style="439" customWidth="1"/>
    <col min="16136" max="16136" width="10.5703125" style="439" customWidth="1"/>
    <col min="16137" max="16137" width="10.42578125" style="439" customWidth="1"/>
    <col min="16138" max="16138" width="9.140625" style="439" customWidth="1"/>
    <col min="16139" max="16139" width="11.42578125" style="439" customWidth="1"/>
    <col min="16140" max="16141" width="10.140625" style="439" customWidth="1"/>
    <col min="16142" max="16142" width="11.5703125" style="439" customWidth="1"/>
    <col min="16143" max="16143" width="10.28515625" style="439" customWidth="1"/>
    <col min="16144" max="16144" width="11.42578125" style="439" customWidth="1"/>
    <col min="16145" max="16145" width="10.7109375" style="439" customWidth="1"/>
    <col min="16146" max="16146" width="18.5703125" style="439" customWidth="1"/>
    <col min="16147" max="16147" width="7.85546875" style="439" customWidth="1"/>
    <col min="16148" max="16148" width="14.85546875" style="439" customWidth="1"/>
    <col min="16149" max="16156" width="0" style="439" hidden="1" customWidth="1"/>
    <col min="16157" max="16384" width="9.140625" style="439"/>
  </cols>
  <sheetData>
    <row r="1" spans="2:28" s="271" customFormat="1">
      <c r="B1" s="270" t="s">
        <v>115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</row>
    <row r="2" spans="2:28" s="271" customFormat="1">
      <c r="B2" s="270" t="s">
        <v>1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</row>
    <row r="3" spans="2:28" s="271" customFormat="1"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3"/>
      <c r="V3" s="272"/>
      <c r="W3" s="272"/>
      <c r="X3" s="272"/>
      <c r="Y3" s="272"/>
      <c r="Z3" s="272"/>
      <c r="AA3" s="272"/>
      <c r="AB3" s="272"/>
    </row>
    <row r="4" spans="2:28" s="271" customFormat="1">
      <c r="B4" s="8" t="s">
        <v>2</v>
      </c>
      <c r="C4" s="8" t="s">
        <v>116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T4" s="8"/>
      <c r="U4" s="274"/>
      <c r="V4" s="8"/>
      <c r="W4" s="8"/>
      <c r="X4" s="8"/>
      <c r="Y4" s="8"/>
      <c r="Z4" s="272"/>
      <c r="AA4" s="272"/>
      <c r="AB4" s="272"/>
    </row>
    <row r="5" spans="2:28" s="271" customFormat="1">
      <c r="B5" s="8" t="s">
        <v>117</v>
      </c>
      <c r="C5" s="8" t="s">
        <v>118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T5" s="8"/>
      <c r="U5" s="274"/>
      <c r="V5" s="8"/>
      <c r="W5" s="8"/>
      <c r="X5" s="8"/>
      <c r="Y5" s="8"/>
      <c r="Z5" s="272"/>
      <c r="AA5" s="272"/>
      <c r="AB5" s="272"/>
    </row>
    <row r="6" spans="2:28" s="271" customFormat="1">
      <c r="B6" s="8" t="s">
        <v>119</v>
      </c>
      <c r="C6" s="8" t="s">
        <v>120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T6" s="8"/>
      <c r="U6" s="274"/>
      <c r="V6" s="8"/>
      <c r="W6" s="8"/>
      <c r="X6" s="8"/>
      <c r="Y6" s="8"/>
      <c r="Z6" s="272"/>
      <c r="AA6" s="272"/>
      <c r="AB6" s="272"/>
    </row>
    <row r="7" spans="2:28" s="271" customFormat="1">
      <c r="B7" s="8" t="s">
        <v>7</v>
      </c>
      <c r="C7" s="275">
        <f>R18</f>
        <v>1268312000</v>
      </c>
      <c r="D7" s="275"/>
      <c r="E7" s="275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U7" s="274"/>
      <c r="V7" s="84"/>
      <c r="W7" s="84"/>
      <c r="X7" s="8"/>
      <c r="Y7" s="8"/>
      <c r="Z7" s="272"/>
      <c r="AA7" s="272"/>
      <c r="AB7" s="272"/>
    </row>
    <row r="8" spans="2:28" s="271" customFormat="1" hidden="1">
      <c r="B8" s="8"/>
      <c r="C8" s="276"/>
      <c r="D8" s="276"/>
      <c r="E8" s="276"/>
      <c r="F8" s="277" t="s">
        <v>121</v>
      </c>
      <c r="G8" s="277" t="s">
        <v>122</v>
      </c>
      <c r="H8" s="277" t="s">
        <v>123</v>
      </c>
      <c r="I8" s="277" t="s">
        <v>106</v>
      </c>
      <c r="J8" s="277" t="s">
        <v>23</v>
      </c>
      <c r="K8" s="277" t="s">
        <v>107</v>
      </c>
      <c r="L8" s="277" t="s">
        <v>108</v>
      </c>
      <c r="M8" s="277" t="s">
        <v>124</v>
      </c>
      <c r="N8" s="277" t="s">
        <v>125</v>
      </c>
      <c r="O8" s="277" t="s">
        <v>126</v>
      </c>
      <c r="P8" s="277" t="s">
        <v>127</v>
      </c>
      <c r="Q8" s="277" t="s">
        <v>128</v>
      </c>
      <c r="U8" s="274"/>
      <c r="V8" s="84"/>
      <c r="W8" s="84"/>
      <c r="X8" s="8"/>
      <c r="Y8" s="8"/>
      <c r="Z8" s="272"/>
      <c r="AA8" s="272"/>
      <c r="AB8" s="272"/>
    </row>
    <row r="9" spans="2:28" s="271" customFormat="1" hidden="1">
      <c r="B9" s="8"/>
      <c r="C9" s="276"/>
      <c r="D9" s="276"/>
      <c r="E9" s="276"/>
      <c r="F9" s="278">
        <v>4.5231491359078299E-3</v>
      </c>
      <c r="G9" s="278">
        <v>4.360998506507361E-2</v>
      </c>
      <c r="H9" s="278">
        <v>0.14452741625773416</v>
      </c>
      <c r="I9" s="278">
        <v>7.9795178152336249E-2</v>
      </c>
      <c r="J9" s="278">
        <v>8.0392575208022191E-2</v>
      </c>
      <c r="K9" s="278">
        <v>0.11845530189886921</v>
      </c>
      <c r="L9" s="278">
        <v>6.4518882014081499E-2</v>
      </c>
      <c r="M9" s="278">
        <v>8.7646682312780028E-2</v>
      </c>
      <c r="N9" s="278">
        <v>0.12647749093236613</v>
      </c>
      <c r="O9" s="278">
        <v>7.2541071047578412E-2</v>
      </c>
      <c r="P9" s="278">
        <v>0.1752080221890335</v>
      </c>
      <c r="Q9" s="278">
        <v>2.3042457862171963E-3</v>
      </c>
      <c r="U9" s="274"/>
      <c r="V9" s="84"/>
      <c r="W9" s="84"/>
      <c r="X9" s="8"/>
      <c r="Y9" s="8"/>
      <c r="Z9" s="272"/>
      <c r="AA9" s="272"/>
      <c r="AB9" s="272"/>
    </row>
    <row r="10" spans="2:28" s="271" customFormat="1" hidden="1">
      <c r="B10" s="8"/>
      <c r="C10" s="276"/>
      <c r="D10" s="276"/>
      <c r="E10" s="276"/>
      <c r="F10" s="279">
        <f>E10+F9</f>
        <v>4.5231491359078299E-3</v>
      </c>
      <c r="G10" s="279">
        <f t="shared" ref="G10:Q10" si="0">F10+G9</f>
        <v>4.8133134200981441E-2</v>
      </c>
      <c r="H10" s="279">
        <f t="shared" si="0"/>
        <v>0.19266055045871561</v>
      </c>
      <c r="I10" s="279">
        <f t="shared" si="0"/>
        <v>0.27245572861105183</v>
      </c>
      <c r="J10" s="279">
        <f t="shared" si="0"/>
        <v>0.35284830381907401</v>
      </c>
      <c r="K10" s="279">
        <f t="shared" si="0"/>
        <v>0.47130360571794322</v>
      </c>
      <c r="L10" s="279">
        <f t="shared" si="0"/>
        <v>0.53582248773202468</v>
      </c>
      <c r="M10" s="279">
        <f t="shared" si="0"/>
        <v>0.62346917004480473</v>
      </c>
      <c r="N10" s="279">
        <f t="shared" si="0"/>
        <v>0.74994666097717089</v>
      </c>
      <c r="O10" s="279">
        <f t="shared" si="0"/>
        <v>0.82248773202474934</v>
      </c>
      <c r="P10" s="279">
        <f t="shared" si="0"/>
        <v>0.99769575421378287</v>
      </c>
      <c r="Q10" s="279">
        <f t="shared" si="0"/>
        <v>1</v>
      </c>
      <c r="U10" s="274"/>
      <c r="V10" s="84"/>
      <c r="W10" s="84"/>
      <c r="X10" s="8"/>
      <c r="Y10" s="8"/>
      <c r="Z10" s="272"/>
      <c r="AA10" s="272"/>
      <c r="AB10" s="272"/>
    </row>
    <row r="11" spans="2:28" s="271" customFormat="1" ht="24.75" customHeight="1" thickBo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74"/>
      <c r="V11" s="8"/>
      <c r="W11" s="8"/>
      <c r="X11" s="8"/>
      <c r="Y11" s="8"/>
      <c r="Z11" s="272"/>
      <c r="AA11" s="272"/>
      <c r="AB11" s="272"/>
    </row>
    <row r="12" spans="2:28" s="271" customFormat="1" ht="15" customHeight="1" thickTop="1">
      <c r="B12" s="280" t="s">
        <v>129</v>
      </c>
      <c r="C12" s="281" t="s">
        <v>9</v>
      </c>
      <c r="D12" s="282"/>
      <c r="E12" s="283" t="s">
        <v>10</v>
      </c>
      <c r="F12" s="284" t="s">
        <v>11</v>
      </c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6"/>
      <c r="R12" s="283" t="s">
        <v>7</v>
      </c>
      <c r="S12" s="283" t="s">
        <v>12</v>
      </c>
      <c r="T12" s="287" t="s">
        <v>13</v>
      </c>
      <c r="U12" s="288" t="s">
        <v>130</v>
      </c>
      <c r="V12" s="288"/>
      <c r="W12" s="288"/>
      <c r="X12" s="289"/>
      <c r="Y12" s="290" t="s">
        <v>131</v>
      </c>
      <c r="Z12" s="288"/>
      <c r="AA12" s="289"/>
      <c r="AB12" s="291"/>
    </row>
    <row r="13" spans="2:28" s="271" customFormat="1">
      <c r="B13" s="292"/>
      <c r="C13" s="293"/>
      <c r="D13" s="294"/>
      <c r="E13" s="295"/>
      <c r="F13" s="296" t="s">
        <v>14</v>
      </c>
      <c r="G13" s="297"/>
      <c r="H13" s="298"/>
      <c r="I13" s="296" t="s">
        <v>15</v>
      </c>
      <c r="J13" s="297"/>
      <c r="K13" s="298"/>
      <c r="L13" s="296" t="s">
        <v>16</v>
      </c>
      <c r="M13" s="297"/>
      <c r="N13" s="298"/>
      <c r="O13" s="296" t="s">
        <v>17</v>
      </c>
      <c r="P13" s="297"/>
      <c r="Q13" s="298"/>
      <c r="R13" s="295"/>
      <c r="S13" s="295"/>
      <c r="T13" s="299"/>
      <c r="U13" s="300" t="s">
        <v>132</v>
      </c>
      <c r="V13" s="301"/>
      <c r="W13" s="302" t="s">
        <v>133</v>
      </c>
      <c r="X13" s="302" t="s">
        <v>134</v>
      </c>
      <c r="Y13" s="302" t="s">
        <v>133</v>
      </c>
      <c r="Z13" s="302" t="s">
        <v>135</v>
      </c>
      <c r="AA13" s="302" t="s">
        <v>136</v>
      </c>
      <c r="AB13" s="303" t="s">
        <v>137</v>
      </c>
    </row>
    <row r="14" spans="2:28" s="271" customFormat="1">
      <c r="B14" s="292"/>
      <c r="C14" s="293"/>
      <c r="D14" s="294"/>
      <c r="E14" s="295"/>
      <c r="F14" s="304" t="s">
        <v>19</v>
      </c>
      <c r="G14" s="304" t="s">
        <v>20</v>
      </c>
      <c r="H14" s="304" t="s">
        <v>21</v>
      </c>
      <c r="I14" s="304" t="s">
        <v>22</v>
      </c>
      <c r="J14" s="304" t="s">
        <v>23</v>
      </c>
      <c r="K14" s="304" t="s">
        <v>24</v>
      </c>
      <c r="L14" s="304" t="s">
        <v>25</v>
      </c>
      <c r="M14" s="304" t="s">
        <v>26</v>
      </c>
      <c r="N14" s="304" t="s">
        <v>27</v>
      </c>
      <c r="O14" s="304" t="s">
        <v>28</v>
      </c>
      <c r="P14" s="304" t="s">
        <v>29</v>
      </c>
      <c r="Q14" s="304" t="s">
        <v>30</v>
      </c>
      <c r="R14" s="295"/>
      <c r="S14" s="295"/>
      <c r="T14" s="299" t="s">
        <v>138</v>
      </c>
      <c r="U14" s="305" t="s">
        <v>139</v>
      </c>
      <c r="V14" s="306"/>
      <c r="W14" s="302" t="s">
        <v>140</v>
      </c>
      <c r="X14" s="302" t="s">
        <v>141</v>
      </c>
      <c r="Y14" s="302" t="s">
        <v>142</v>
      </c>
      <c r="Z14" s="302" t="s">
        <v>143</v>
      </c>
      <c r="AA14" s="302" t="s">
        <v>141</v>
      </c>
      <c r="AB14" s="303" t="s">
        <v>144</v>
      </c>
    </row>
    <row r="15" spans="2:28" s="271" customFormat="1">
      <c r="B15" s="307"/>
      <c r="C15" s="308"/>
      <c r="D15" s="309"/>
      <c r="E15" s="310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11" t="s">
        <v>31</v>
      </c>
      <c r="S15" s="311" t="s">
        <v>31</v>
      </c>
      <c r="T15" s="299" t="s">
        <v>32</v>
      </c>
      <c r="U15" s="312"/>
      <c r="V15" s="313"/>
      <c r="W15" s="302" t="s">
        <v>32</v>
      </c>
      <c r="X15" s="302" t="s">
        <v>32</v>
      </c>
      <c r="Y15" s="302" t="s">
        <v>31</v>
      </c>
      <c r="Z15" s="302" t="s">
        <v>32</v>
      </c>
      <c r="AA15" s="302" t="s">
        <v>32</v>
      </c>
      <c r="AB15" s="303"/>
    </row>
    <row r="16" spans="2:28" s="325" customFormat="1" ht="12" customHeight="1">
      <c r="B16" s="314">
        <v>1</v>
      </c>
      <c r="C16" s="315">
        <v>2</v>
      </c>
      <c r="D16" s="316"/>
      <c r="E16" s="317">
        <v>3</v>
      </c>
      <c r="F16" s="317">
        <v>4</v>
      </c>
      <c r="G16" s="317">
        <v>5</v>
      </c>
      <c r="H16" s="317">
        <v>6</v>
      </c>
      <c r="I16" s="317">
        <v>7</v>
      </c>
      <c r="J16" s="317">
        <v>8</v>
      </c>
      <c r="K16" s="317">
        <v>9</v>
      </c>
      <c r="L16" s="317">
        <v>10</v>
      </c>
      <c r="M16" s="317">
        <v>11</v>
      </c>
      <c r="N16" s="317">
        <v>12</v>
      </c>
      <c r="O16" s="317">
        <v>13</v>
      </c>
      <c r="P16" s="317">
        <v>14</v>
      </c>
      <c r="Q16" s="317">
        <v>15</v>
      </c>
      <c r="R16" s="318">
        <v>16</v>
      </c>
      <c r="S16" s="319">
        <v>17</v>
      </c>
      <c r="T16" s="320">
        <v>18</v>
      </c>
      <c r="U16" s="321">
        <v>7</v>
      </c>
      <c r="V16" s="322"/>
      <c r="W16" s="323">
        <v>8</v>
      </c>
      <c r="X16" s="323">
        <v>9</v>
      </c>
      <c r="Y16" s="323">
        <v>10</v>
      </c>
      <c r="Z16" s="323">
        <v>11</v>
      </c>
      <c r="AA16" s="323">
        <v>12</v>
      </c>
      <c r="AB16" s="324">
        <v>13</v>
      </c>
    </row>
    <row r="17" spans="2:28" s="271" customFormat="1">
      <c r="B17" s="326"/>
      <c r="C17" s="327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9"/>
      <c r="S17" s="329"/>
      <c r="T17" s="330"/>
      <c r="U17" s="312"/>
      <c r="V17" s="328"/>
      <c r="W17" s="329"/>
      <c r="X17" s="329"/>
      <c r="Y17" s="329"/>
      <c r="Z17" s="329"/>
      <c r="AA17" s="329"/>
      <c r="AB17" s="331"/>
    </row>
    <row r="18" spans="2:28" s="271" customFormat="1">
      <c r="B18" s="332" t="s">
        <v>145</v>
      </c>
      <c r="C18" s="333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5">
        <f>R19+R24+R29+R34+R39+R44</f>
        <v>1268312000</v>
      </c>
      <c r="S18" s="336"/>
      <c r="T18" s="337">
        <f>T19+T24+T39</f>
        <v>100</v>
      </c>
      <c r="U18" s="338"/>
      <c r="V18" s="339"/>
      <c r="W18" s="340"/>
      <c r="X18" s="340" t="e">
        <f>X19+#REF!+#REF!+#REF!+#REF!+#REF!+#REF!+X44+#REF!+#REF!</f>
        <v>#REF!</v>
      </c>
      <c r="Y18" s="340" t="e">
        <f>Y19+#REF!+#REF!+#REF!+#REF!+#REF!+#REF!+Y44+#REF!+#REF!</f>
        <v>#REF!</v>
      </c>
      <c r="Z18" s="340">
        <v>0</v>
      </c>
      <c r="AA18" s="340" t="e">
        <f>AA19+#REF!+#REF!+#REF!+#REF!+#REF!+#REF!+AA44</f>
        <v>#REF!</v>
      </c>
      <c r="AB18" s="331"/>
    </row>
    <row r="19" spans="2:28" s="271" customFormat="1" ht="26.25" customHeight="1">
      <c r="B19" s="341" t="s">
        <v>146</v>
      </c>
      <c r="C19" s="342">
        <v>1</v>
      </c>
      <c r="D19" s="343" t="s">
        <v>147</v>
      </c>
      <c r="E19" s="344" t="s">
        <v>35</v>
      </c>
      <c r="F19" s="345">
        <v>2.2258195062727641E-2</v>
      </c>
      <c r="G19" s="345">
        <v>7.5930797248077705E-2</v>
      </c>
      <c r="H19" s="345">
        <v>9.0904492108458121E-2</v>
      </c>
      <c r="I19" s="345">
        <v>0.28100000000000003</v>
      </c>
      <c r="J19" s="345">
        <v>6.8000000000000005E-2</v>
      </c>
      <c r="K19" s="345">
        <v>0.11999190611088628</v>
      </c>
      <c r="L19" s="345">
        <v>3.2729664103601779E-2</v>
      </c>
      <c r="M19" s="345">
        <v>3.2729664103601779E-2</v>
      </c>
      <c r="N19" s="345">
        <v>0.11999190611088628</v>
      </c>
      <c r="O19" s="345">
        <v>3.2729664103601779E-2</v>
      </c>
      <c r="P19" s="345">
        <v>9.0904492108458121E-2</v>
      </c>
      <c r="Q19" s="346">
        <v>3.2729664103601779E-2</v>
      </c>
      <c r="R19" s="347">
        <v>19768000</v>
      </c>
      <c r="S19" s="348"/>
      <c r="T19" s="349">
        <f>R19/R18*100</f>
        <v>1.558607030446767</v>
      </c>
      <c r="U19" s="350">
        <v>0</v>
      </c>
      <c r="V19" s="351" t="s">
        <v>148</v>
      </c>
      <c r="W19" s="352">
        <f>U19/C19*100</f>
        <v>0</v>
      </c>
      <c r="X19" s="352">
        <f>W19*T19/100</f>
        <v>0</v>
      </c>
      <c r="Y19" s="353">
        <f>SUM(Y20:Y21)</f>
        <v>0</v>
      </c>
      <c r="Z19" s="352">
        <f>Y19/R19*100</f>
        <v>0</v>
      </c>
      <c r="AA19" s="352">
        <f>Z19*T19/100</f>
        <v>0</v>
      </c>
      <c r="AB19" s="354"/>
    </row>
    <row r="20" spans="2:28" s="271" customFormat="1" ht="15" customHeight="1">
      <c r="B20" s="355" t="s">
        <v>149</v>
      </c>
      <c r="C20" s="356"/>
      <c r="D20" s="357"/>
      <c r="E20" s="358"/>
      <c r="F20" s="359">
        <f>F19/$C$19*100</f>
        <v>2.2258195062727641</v>
      </c>
      <c r="G20" s="359">
        <f t="shared" ref="G20:Q20" si="1">G19/$C$19*100</f>
        <v>7.5930797248077706</v>
      </c>
      <c r="H20" s="359">
        <f t="shared" si="1"/>
        <v>9.0904492108458115</v>
      </c>
      <c r="I20" s="359">
        <f t="shared" si="1"/>
        <v>28.1</v>
      </c>
      <c r="J20" s="359">
        <f t="shared" si="1"/>
        <v>6.8000000000000007</v>
      </c>
      <c r="K20" s="359">
        <f t="shared" si="1"/>
        <v>11.999190611088629</v>
      </c>
      <c r="L20" s="359">
        <f t="shared" si="1"/>
        <v>3.2729664103601777</v>
      </c>
      <c r="M20" s="359">
        <f t="shared" si="1"/>
        <v>3.2729664103601777</v>
      </c>
      <c r="N20" s="359">
        <f t="shared" si="1"/>
        <v>11.999190611088629</v>
      </c>
      <c r="O20" s="359">
        <f t="shared" si="1"/>
        <v>3.2729664103601777</v>
      </c>
      <c r="P20" s="359">
        <f t="shared" si="1"/>
        <v>9.0904492108458115</v>
      </c>
      <c r="Q20" s="360">
        <f t="shared" si="1"/>
        <v>3.2729664103601777</v>
      </c>
      <c r="R20" s="361"/>
      <c r="S20" s="361"/>
      <c r="T20" s="362"/>
      <c r="U20" s="363"/>
      <c r="V20" s="364"/>
      <c r="W20" s="365"/>
      <c r="X20" s="366"/>
      <c r="Y20" s="367">
        <v>0</v>
      </c>
      <c r="Z20" s="365" t="e">
        <f>Y20/R20*100</f>
        <v>#DIV/0!</v>
      </c>
      <c r="AA20" s="365" t="e">
        <f>Z20*T20/100</f>
        <v>#DIV/0!</v>
      </c>
      <c r="AB20" s="368"/>
    </row>
    <row r="21" spans="2:28" s="271" customFormat="1" ht="15" customHeight="1">
      <c r="B21" s="355" t="s">
        <v>150</v>
      </c>
      <c r="C21" s="356"/>
      <c r="D21" s="357"/>
      <c r="E21" s="358"/>
      <c r="F21" s="359">
        <f>SUM($F$20:F20)</f>
        <v>2.2258195062727641</v>
      </c>
      <c r="G21" s="359">
        <f>SUM($F$20:G20)</f>
        <v>9.8188992310805343</v>
      </c>
      <c r="H21" s="359">
        <f>SUM($F$20:H20)</f>
        <v>18.909348441926348</v>
      </c>
      <c r="I21" s="359">
        <f>SUM($F$20:I20)</f>
        <v>47.009348441926349</v>
      </c>
      <c r="J21" s="359">
        <f>SUM($F$20:J20)</f>
        <v>53.809348441926346</v>
      </c>
      <c r="K21" s="359">
        <f>SUM($F$20:K20)</f>
        <v>65.808539053014982</v>
      </c>
      <c r="L21" s="359">
        <f>SUM($F$20:L20)</f>
        <v>69.081505463375166</v>
      </c>
      <c r="M21" s="359">
        <f>SUM($F$20:M20)</f>
        <v>72.354471873735349</v>
      </c>
      <c r="N21" s="359">
        <f>SUM($F$20:N20)</f>
        <v>84.353662484823985</v>
      </c>
      <c r="O21" s="359">
        <f>SUM($F$20:O20)</f>
        <v>87.626628895184169</v>
      </c>
      <c r="P21" s="359">
        <f>SUM($F$20:P20)</f>
        <v>96.717078106029987</v>
      </c>
      <c r="Q21" s="360">
        <f>SUM($F$20:Q20)</f>
        <v>99.990044516390171</v>
      </c>
      <c r="R21" s="369"/>
      <c r="S21" s="369"/>
      <c r="T21" s="362"/>
      <c r="U21" s="363"/>
      <c r="V21" s="364"/>
      <c r="W21" s="365"/>
      <c r="X21" s="366"/>
      <c r="Y21" s="367">
        <v>0</v>
      </c>
      <c r="Z21" s="365" t="e">
        <f>Y21/R21*100</f>
        <v>#DIV/0!</v>
      </c>
      <c r="AA21" s="365" t="e">
        <f>Z21*T21/100</f>
        <v>#DIV/0!</v>
      </c>
      <c r="AB21" s="368"/>
    </row>
    <row r="22" spans="2:28" s="271" customFormat="1" ht="15" customHeight="1">
      <c r="B22" s="355" t="s">
        <v>151</v>
      </c>
      <c r="C22" s="356"/>
      <c r="D22" s="357"/>
      <c r="E22" s="358"/>
      <c r="F22" s="359">
        <f>F20*$T$19/100</f>
        <v>3.4691779309822819E-2</v>
      </c>
      <c r="G22" s="359">
        <f t="shared" ref="G22:Q22" si="2">G20*$T$19/100</f>
        <v>0.11834627441828192</v>
      </c>
      <c r="H22" s="359">
        <f t="shared" si="2"/>
        <v>0.14168438049943546</v>
      </c>
      <c r="I22" s="359">
        <f t="shared" si="2"/>
        <v>0.43796857555554153</v>
      </c>
      <c r="J22" s="359">
        <f t="shared" si="2"/>
        <v>0.10598527807038016</v>
      </c>
      <c r="K22" s="359">
        <f t="shared" si="2"/>
        <v>0.18702022846113575</v>
      </c>
      <c r="L22" s="359">
        <f t="shared" si="2"/>
        <v>5.101268457603491E-2</v>
      </c>
      <c r="M22" s="359">
        <f t="shared" si="2"/>
        <v>5.101268457603491E-2</v>
      </c>
      <c r="N22" s="359">
        <f t="shared" si="2"/>
        <v>0.18702022846113575</v>
      </c>
      <c r="O22" s="359">
        <f t="shared" si="2"/>
        <v>5.101268457603491E-2</v>
      </c>
      <c r="P22" s="359">
        <f t="shared" si="2"/>
        <v>0.14168438049943546</v>
      </c>
      <c r="Q22" s="359">
        <f t="shared" si="2"/>
        <v>5.101268457603491E-2</v>
      </c>
      <c r="R22" s="369"/>
      <c r="S22" s="369"/>
      <c r="T22" s="362"/>
      <c r="U22" s="363"/>
      <c r="V22" s="364"/>
      <c r="W22" s="365"/>
      <c r="X22" s="366"/>
      <c r="Y22" s="367"/>
      <c r="Z22" s="365"/>
      <c r="AA22" s="370"/>
      <c r="AB22" s="368"/>
    </row>
    <row r="23" spans="2:28" s="271" customFormat="1" ht="15" customHeight="1">
      <c r="B23" s="371"/>
      <c r="C23" s="372"/>
      <c r="D23" s="373"/>
      <c r="E23" s="374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6"/>
      <c r="S23" s="376"/>
      <c r="T23" s="377"/>
      <c r="U23" s="363"/>
      <c r="V23" s="364"/>
      <c r="W23" s="365"/>
      <c r="X23" s="366"/>
      <c r="Y23" s="365"/>
      <c r="Z23" s="365"/>
      <c r="AA23" s="378"/>
      <c r="AB23" s="368"/>
    </row>
    <row r="24" spans="2:28" s="271" customFormat="1" ht="26.25" customHeight="1">
      <c r="B24" s="341" t="s">
        <v>152</v>
      </c>
      <c r="C24" s="342">
        <v>1</v>
      </c>
      <c r="D24" s="343" t="s">
        <v>147</v>
      </c>
      <c r="E24" s="344" t="s">
        <v>35</v>
      </c>
      <c r="F24" s="346">
        <v>5.5666376686230755E-3</v>
      </c>
      <c r="G24" s="346">
        <v>7.7324461795762779E-3</v>
      </c>
      <c r="H24" s="346">
        <f>0.00151294140476609+0.000465209747947282</f>
        <v>1.9781511527133719E-3</v>
      </c>
      <c r="I24" s="346">
        <v>4.7608319204324378E-3</v>
      </c>
      <c r="J24" s="346">
        <v>2.8000000000000001E-2</v>
      </c>
      <c r="K24" s="346">
        <v>4.8000000000000001E-2</v>
      </c>
      <c r="L24" s="346">
        <v>9.6121114248454587E-3</v>
      </c>
      <c r="M24" s="346">
        <v>0.17783146161651212</v>
      </c>
      <c r="N24" s="346">
        <v>0.11713291025790717</v>
      </c>
      <c r="O24" s="346">
        <v>0.55572228973814597</v>
      </c>
      <c r="P24" s="346">
        <v>3.7909871449315638E-2</v>
      </c>
      <c r="Q24" s="346">
        <v>5.7532885919284573E-3</v>
      </c>
      <c r="R24" s="347">
        <v>1216174000</v>
      </c>
      <c r="S24" s="348"/>
      <c r="T24" s="349">
        <f>R24/R18*100</f>
        <v>95.889181841691951</v>
      </c>
      <c r="U24" s="350">
        <v>0</v>
      </c>
      <c r="V24" s="351" t="s">
        <v>148</v>
      </c>
      <c r="W24" s="352">
        <f>U24/C24*100</f>
        <v>0</v>
      </c>
      <c r="X24" s="352">
        <f>W24*T24/100</f>
        <v>0</v>
      </c>
      <c r="Y24" s="353">
        <f>SUM(Y25:Y26)</f>
        <v>0</v>
      </c>
      <c r="Z24" s="352">
        <f>Y24/R24*100</f>
        <v>0</v>
      </c>
      <c r="AA24" s="352">
        <f>Z24*T24/100</f>
        <v>0</v>
      </c>
      <c r="AB24" s="354"/>
    </row>
    <row r="25" spans="2:28" s="271" customFormat="1" ht="15" customHeight="1">
      <c r="B25" s="355" t="s">
        <v>149</v>
      </c>
      <c r="C25" s="356"/>
      <c r="D25" s="357"/>
      <c r="E25" s="358"/>
      <c r="F25" s="359">
        <f t="shared" ref="F25:J25" si="3">F24/$C$24*100</f>
        <v>0.55666376686230756</v>
      </c>
      <c r="G25" s="359">
        <f t="shared" si="3"/>
        <v>0.77324461795762778</v>
      </c>
      <c r="H25" s="359">
        <f t="shared" si="3"/>
        <v>0.19781511527133719</v>
      </c>
      <c r="I25" s="359">
        <f t="shared" si="3"/>
        <v>0.47608319204324379</v>
      </c>
      <c r="J25" s="359">
        <f t="shared" si="3"/>
        <v>2.8000000000000003</v>
      </c>
      <c r="K25" s="359">
        <f>K24/$C$24*100</f>
        <v>4.8</v>
      </c>
      <c r="L25" s="359">
        <f t="shared" ref="L25:Q25" si="4">L24/$C$24*100</f>
        <v>0.96121114248454587</v>
      </c>
      <c r="M25" s="359">
        <f t="shared" si="4"/>
        <v>17.78314616165121</v>
      </c>
      <c r="N25" s="359">
        <f t="shared" si="4"/>
        <v>11.713291025790717</v>
      </c>
      <c r="O25" s="359">
        <f t="shared" si="4"/>
        <v>55.572228973814596</v>
      </c>
      <c r="P25" s="359">
        <f t="shared" si="4"/>
        <v>3.790987144931564</v>
      </c>
      <c r="Q25" s="359">
        <f t="shared" si="4"/>
        <v>0.57532885919284571</v>
      </c>
      <c r="R25" s="361"/>
      <c r="S25" s="361"/>
      <c r="T25" s="362"/>
      <c r="U25" s="363"/>
      <c r="V25" s="364"/>
      <c r="W25" s="365"/>
      <c r="X25" s="366"/>
      <c r="Y25" s="367">
        <v>0</v>
      </c>
      <c r="Z25" s="365" t="e">
        <f>Y25/R25*100</f>
        <v>#DIV/0!</v>
      </c>
      <c r="AA25" s="365" t="e">
        <f>Z25*T25/100</f>
        <v>#DIV/0!</v>
      </c>
      <c r="AB25" s="368"/>
    </row>
    <row r="26" spans="2:28" s="271" customFormat="1" ht="15" customHeight="1">
      <c r="B26" s="355" t="s">
        <v>150</v>
      </c>
      <c r="C26" s="356"/>
      <c r="D26" s="357"/>
      <c r="E26" s="358"/>
      <c r="F26" s="359">
        <f>SUM($F$25:F25)</f>
        <v>0.55666376686230756</v>
      </c>
      <c r="G26" s="359">
        <f>SUM($F$25:G25)</f>
        <v>1.3299083848199353</v>
      </c>
      <c r="H26" s="359">
        <f>SUM($F$25:H25)</f>
        <v>1.5277235000912726</v>
      </c>
      <c r="I26" s="359">
        <f>SUM($F$25:I25)</f>
        <v>2.0038066921345163</v>
      </c>
      <c r="J26" s="359">
        <f>SUM($F$25:J25)</f>
        <v>4.8038066921345166</v>
      </c>
      <c r="K26" s="359">
        <f>SUM($F$25:K25)</f>
        <v>9.6038066921345155</v>
      </c>
      <c r="L26" s="359">
        <f>SUM($F$25:L25)</f>
        <v>10.565017834619061</v>
      </c>
      <c r="M26" s="359">
        <f>SUM($F$25:M25)</f>
        <v>28.348163996270273</v>
      </c>
      <c r="N26" s="359">
        <f>SUM($F$25:N25)</f>
        <v>40.06145502206099</v>
      </c>
      <c r="O26" s="359">
        <f>SUM($F$25:O25)</f>
        <v>95.633683995875586</v>
      </c>
      <c r="P26" s="359">
        <f>SUM($F$25:P25)</f>
        <v>99.424671140807149</v>
      </c>
      <c r="Q26" s="359">
        <f>SUM($F$25:Q25)</f>
        <v>100</v>
      </c>
      <c r="R26" s="369"/>
      <c r="S26" s="369"/>
      <c r="T26" s="362"/>
      <c r="U26" s="363"/>
      <c r="V26" s="364"/>
      <c r="W26" s="365"/>
      <c r="X26" s="366"/>
      <c r="Y26" s="367">
        <v>0</v>
      </c>
      <c r="Z26" s="365" t="e">
        <f>Y26/R26*100</f>
        <v>#DIV/0!</v>
      </c>
      <c r="AA26" s="365" t="e">
        <f>Z26*T26/100</f>
        <v>#DIV/0!</v>
      </c>
      <c r="AB26" s="368"/>
    </row>
    <row r="27" spans="2:28" s="271" customFormat="1" ht="15" customHeight="1">
      <c r="B27" s="355" t="s">
        <v>151</v>
      </c>
      <c r="C27" s="356"/>
      <c r="D27" s="357"/>
      <c r="E27" s="358"/>
      <c r="F27" s="359">
        <f>F25*$T$24/100</f>
        <v>0.53378033165341021</v>
      </c>
      <c r="G27" s="359">
        <f t="shared" ref="G27:J27" si="5">G25*$T$24/100</f>
        <v>0.74145793779448599</v>
      </c>
      <c r="H27" s="359">
        <f t="shared" si="5"/>
        <v>0.18968329559288505</v>
      </c>
      <c r="I27" s="359">
        <f t="shared" si="5"/>
        <v>0.4565122777360775</v>
      </c>
      <c r="J27" s="359">
        <f t="shared" si="5"/>
        <v>2.6848970915673749</v>
      </c>
      <c r="K27" s="359">
        <f>K25*$T$24/100</f>
        <v>4.6026807284012135</v>
      </c>
      <c r="L27" s="359">
        <f>L25*$T$24/100</f>
        <v>0.92169750029961095</v>
      </c>
      <c r="M27" s="359">
        <f t="shared" ref="M27:Q27" si="6">M25*$T$24/100</f>
        <v>17.052113360119591</v>
      </c>
      <c r="N27" s="359">
        <f t="shared" si="6"/>
        <v>11.231778931367046</v>
      </c>
      <c r="O27" s="359">
        <f t="shared" si="6"/>
        <v>53.287755694182493</v>
      </c>
      <c r="P27" s="359">
        <f t="shared" si="6"/>
        <v>3.6351465569985937</v>
      </c>
      <c r="Q27" s="359">
        <f t="shared" si="6"/>
        <v>0.55167813597915971</v>
      </c>
      <c r="R27" s="369"/>
      <c r="S27" s="369"/>
      <c r="T27" s="362"/>
      <c r="U27" s="363"/>
      <c r="V27" s="364"/>
      <c r="W27" s="365"/>
      <c r="X27" s="366"/>
      <c r="Y27" s="367"/>
      <c r="Z27" s="365"/>
      <c r="AA27" s="370"/>
      <c r="AB27" s="368"/>
    </row>
    <row r="28" spans="2:28" s="271" customFormat="1" ht="15" customHeight="1">
      <c r="B28" s="379"/>
      <c r="C28" s="380"/>
      <c r="D28" s="381"/>
      <c r="E28" s="382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67"/>
      <c r="S28" s="367"/>
      <c r="T28" s="330"/>
      <c r="U28" s="363"/>
      <c r="V28" s="364"/>
      <c r="W28" s="365"/>
      <c r="X28" s="366"/>
      <c r="Y28" s="365"/>
      <c r="Z28" s="365"/>
      <c r="AA28" s="384"/>
      <c r="AB28" s="368"/>
    </row>
    <row r="29" spans="2:28" s="271" customFormat="1" ht="26.25" hidden="1" customHeight="1">
      <c r="B29" s="341"/>
      <c r="C29" s="342"/>
      <c r="D29" s="343"/>
      <c r="E29" s="344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85"/>
      <c r="S29" s="348"/>
      <c r="T29" s="349"/>
      <c r="U29" s="350">
        <v>0</v>
      </c>
      <c r="V29" s="351" t="s">
        <v>148</v>
      </c>
      <c r="W29" s="352" t="e">
        <f>U29/C29*100</f>
        <v>#DIV/0!</v>
      </c>
      <c r="X29" s="352" t="e">
        <f>W29*T29/100</f>
        <v>#DIV/0!</v>
      </c>
      <c r="Y29" s="353">
        <f>SUM(Y30:Y31)</f>
        <v>0</v>
      </c>
      <c r="Z29" s="352" t="e">
        <f>Y29/R29*100</f>
        <v>#DIV/0!</v>
      </c>
      <c r="AA29" s="352" t="e">
        <f>Z29*T29/100</f>
        <v>#DIV/0!</v>
      </c>
      <c r="AB29" s="354"/>
    </row>
    <row r="30" spans="2:28" s="271" customFormat="1" ht="15" hidden="1" customHeight="1">
      <c r="B30" s="355"/>
      <c r="C30" s="356"/>
      <c r="D30" s="357"/>
      <c r="E30" s="358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60"/>
      <c r="R30" s="361"/>
      <c r="S30" s="361"/>
      <c r="T30" s="362"/>
      <c r="U30" s="363"/>
      <c r="V30" s="364"/>
      <c r="W30" s="365"/>
      <c r="X30" s="366"/>
      <c r="Y30" s="367">
        <v>0</v>
      </c>
      <c r="Z30" s="365" t="e">
        <f>Y30/R30*100</f>
        <v>#DIV/0!</v>
      </c>
      <c r="AA30" s="365" t="e">
        <f>Z30*T30/100</f>
        <v>#DIV/0!</v>
      </c>
      <c r="AB30" s="368"/>
    </row>
    <row r="31" spans="2:28" s="271" customFormat="1" ht="15" hidden="1" customHeight="1">
      <c r="B31" s="355"/>
      <c r="C31" s="356"/>
      <c r="D31" s="357"/>
      <c r="E31" s="358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60"/>
      <c r="R31" s="369"/>
      <c r="S31" s="369"/>
      <c r="T31" s="362"/>
      <c r="U31" s="363"/>
      <c r="V31" s="364"/>
      <c r="W31" s="365"/>
      <c r="X31" s="366"/>
      <c r="Y31" s="367">
        <v>0</v>
      </c>
      <c r="Z31" s="365" t="e">
        <f>Y31/R31*100</f>
        <v>#DIV/0!</v>
      </c>
      <c r="AA31" s="365" t="e">
        <f>Z31*T31/100</f>
        <v>#DIV/0!</v>
      </c>
      <c r="AB31" s="368"/>
    </row>
    <row r="32" spans="2:28" s="271" customFormat="1" ht="15" hidden="1" customHeight="1">
      <c r="B32" s="355"/>
      <c r="C32" s="356"/>
      <c r="D32" s="357"/>
      <c r="E32" s="358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69"/>
      <c r="S32" s="369"/>
      <c r="T32" s="362"/>
      <c r="U32" s="363"/>
      <c r="V32" s="364"/>
      <c r="W32" s="365"/>
      <c r="X32" s="366"/>
      <c r="Y32" s="367"/>
      <c r="Z32" s="365"/>
      <c r="AA32" s="370"/>
      <c r="AB32" s="368"/>
    </row>
    <row r="33" spans="2:29" s="271" customFormat="1" ht="15" hidden="1" customHeight="1">
      <c r="B33" s="386"/>
      <c r="C33" s="380"/>
      <c r="D33" s="381"/>
      <c r="E33" s="382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67"/>
      <c r="S33" s="367"/>
      <c r="T33" s="330"/>
      <c r="U33" s="363"/>
      <c r="V33" s="364"/>
      <c r="W33" s="365"/>
      <c r="X33" s="366"/>
      <c r="Y33" s="367"/>
      <c r="Z33" s="365"/>
      <c r="AA33" s="370"/>
      <c r="AB33" s="368"/>
    </row>
    <row r="34" spans="2:29" s="271" customFormat="1" ht="26.25" hidden="1" customHeight="1">
      <c r="B34" s="341"/>
      <c r="C34" s="342"/>
      <c r="D34" s="343"/>
      <c r="E34" s="344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85"/>
      <c r="S34" s="348"/>
      <c r="T34" s="349"/>
      <c r="U34" s="350">
        <v>0</v>
      </c>
      <c r="V34" s="351" t="s">
        <v>148</v>
      </c>
      <c r="W34" s="352" t="e">
        <f>U34/C34*100</f>
        <v>#DIV/0!</v>
      </c>
      <c r="X34" s="352" t="e">
        <f>W34*T34/100</f>
        <v>#DIV/0!</v>
      </c>
      <c r="Y34" s="353">
        <f>SUM(Y35:Y36)</f>
        <v>0</v>
      </c>
      <c r="Z34" s="352" t="e">
        <f>Y34/R34*100</f>
        <v>#DIV/0!</v>
      </c>
      <c r="AA34" s="352" t="e">
        <f>Z34*T34/100</f>
        <v>#DIV/0!</v>
      </c>
      <c r="AB34" s="354"/>
    </row>
    <row r="35" spans="2:29" s="271" customFormat="1" ht="15" hidden="1" customHeight="1">
      <c r="B35" s="355"/>
      <c r="C35" s="356"/>
      <c r="D35" s="357"/>
      <c r="E35" s="358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60"/>
      <c r="R35" s="361"/>
      <c r="S35" s="361"/>
      <c r="T35" s="362"/>
      <c r="U35" s="363"/>
      <c r="V35" s="364"/>
      <c r="W35" s="365"/>
      <c r="X35" s="366"/>
      <c r="Y35" s="367">
        <v>0</v>
      </c>
      <c r="Z35" s="365" t="e">
        <f>Y35/R35*100</f>
        <v>#DIV/0!</v>
      </c>
      <c r="AA35" s="365" t="e">
        <f>Z35*T35/100</f>
        <v>#DIV/0!</v>
      </c>
      <c r="AB35" s="368"/>
    </row>
    <row r="36" spans="2:29" s="271" customFormat="1" ht="15" hidden="1" customHeight="1">
      <c r="B36" s="355"/>
      <c r="C36" s="356"/>
      <c r="D36" s="357"/>
      <c r="E36" s="358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60"/>
      <c r="R36" s="369"/>
      <c r="S36" s="369"/>
      <c r="T36" s="362"/>
      <c r="U36" s="363"/>
      <c r="V36" s="364"/>
      <c r="W36" s="365"/>
      <c r="X36" s="366"/>
      <c r="Y36" s="367">
        <v>0</v>
      </c>
      <c r="Z36" s="365" t="e">
        <f>Y36/R36*100</f>
        <v>#DIV/0!</v>
      </c>
      <c r="AA36" s="365" t="e">
        <f>Z36*T36/100</f>
        <v>#DIV/0!</v>
      </c>
      <c r="AB36" s="368"/>
    </row>
    <row r="37" spans="2:29" s="271" customFormat="1" ht="15" hidden="1" customHeight="1">
      <c r="B37" s="355"/>
      <c r="C37" s="356"/>
      <c r="D37" s="357"/>
      <c r="E37" s="358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69"/>
      <c r="S37" s="369"/>
      <c r="T37" s="362"/>
      <c r="U37" s="363"/>
      <c r="V37" s="364"/>
      <c r="W37" s="365"/>
      <c r="X37" s="366"/>
      <c r="Y37" s="367"/>
      <c r="Z37" s="365"/>
      <c r="AA37" s="370"/>
      <c r="AB37" s="368"/>
    </row>
    <row r="38" spans="2:29" s="271" customFormat="1" ht="15" hidden="1" customHeight="1">
      <c r="B38" s="379"/>
      <c r="C38" s="380"/>
      <c r="D38" s="381"/>
      <c r="E38" s="382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67"/>
      <c r="S38" s="367"/>
      <c r="T38" s="330"/>
      <c r="U38" s="363"/>
      <c r="V38" s="364"/>
      <c r="W38" s="365"/>
      <c r="X38" s="366"/>
      <c r="Y38" s="365"/>
      <c r="Z38" s="365"/>
      <c r="AA38" s="384"/>
      <c r="AB38" s="368"/>
    </row>
    <row r="39" spans="2:29" s="271" customFormat="1" ht="26.25" customHeight="1">
      <c r="B39" s="341" t="s">
        <v>153</v>
      </c>
      <c r="C39" s="342">
        <v>1</v>
      </c>
      <c r="D39" s="343" t="s">
        <v>147</v>
      </c>
      <c r="E39" s="344" t="s">
        <v>35</v>
      </c>
      <c r="F39" s="345">
        <v>5.128205128205128E-2</v>
      </c>
      <c r="G39" s="345">
        <v>7.6923076923076927E-2</v>
      </c>
      <c r="H39" s="345">
        <v>0.11152301513747297</v>
      </c>
      <c r="I39" s="345">
        <v>6.7000000000000004E-2</v>
      </c>
      <c r="J39" s="345">
        <f>0.035+0.000564102564102553</f>
        <v>3.5564102564102557E-2</v>
      </c>
      <c r="K39" s="345">
        <v>7.6923076923076927E-2</v>
      </c>
      <c r="L39" s="345">
        <v>7.6923076923076927E-2</v>
      </c>
      <c r="M39" s="345">
        <v>0.10256410256410256</v>
      </c>
      <c r="N39" s="345">
        <v>0.11090515909793018</v>
      </c>
      <c r="O39" s="345">
        <v>0.11090515909793018</v>
      </c>
      <c r="P39" s="345">
        <v>0.10256410256410256</v>
      </c>
      <c r="Q39" s="345">
        <v>7.6923076923076927E-2</v>
      </c>
      <c r="R39" s="385">
        <v>32370000</v>
      </c>
      <c r="S39" s="348"/>
      <c r="T39" s="349">
        <f>R39/R18*100</f>
        <v>2.5522111278612836</v>
      </c>
      <c r="U39" s="350">
        <v>0</v>
      </c>
      <c r="V39" s="351" t="s">
        <v>148</v>
      </c>
      <c r="W39" s="352">
        <f>U39/C39*100</f>
        <v>0</v>
      </c>
      <c r="X39" s="352">
        <f>W39*T39/100</f>
        <v>0</v>
      </c>
      <c r="Y39" s="353">
        <f>SUM(Y40:Y41)</f>
        <v>0</v>
      </c>
      <c r="Z39" s="352">
        <f>Y39/R39*100</f>
        <v>0</v>
      </c>
      <c r="AA39" s="352">
        <f>Z39*T39/100</f>
        <v>0</v>
      </c>
      <c r="AB39" s="354"/>
      <c r="AC39" s="387"/>
    </row>
    <row r="40" spans="2:29" s="271" customFormat="1" ht="15" customHeight="1">
      <c r="B40" s="355" t="s">
        <v>149</v>
      </c>
      <c r="C40" s="356"/>
      <c r="D40" s="357"/>
      <c r="E40" s="358"/>
      <c r="F40" s="359">
        <f>F39/$C$39*100</f>
        <v>5.1282051282051277</v>
      </c>
      <c r="G40" s="359">
        <f t="shared" ref="G40:Q40" si="7">G39/$C$39*100</f>
        <v>7.6923076923076925</v>
      </c>
      <c r="H40" s="359">
        <f t="shared" si="7"/>
        <v>11.152301513747297</v>
      </c>
      <c r="I40" s="359">
        <f t="shared" si="7"/>
        <v>6.7</v>
      </c>
      <c r="J40" s="359">
        <f t="shared" si="7"/>
        <v>3.5564102564102558</v>
      </c>
      <c r="K40" s="359">
        <f t="shared" si="7"/>
        <v>7.6923076923076925</v>
      </c>
      <c r="L40" s="359">
        <f t="shared" si="7"/>
        <v>7.6923076923076925</v>
      </c>
      <c r="M40" s="359">
        <f t="shared" si="7"/>
        <v>10.256410256410255</v>
      </c>
      <c r="N40" s="359">
        <f t="shared" si="7"/>
        <v>11.090515909793018</v>
      </c>
      <c r="O40" s="359">
        <f t="shared" si="7"/>
        <v>11.090515909793018</v>
      </c>
      <c r="P40" s="359">
        <f t="shared" si="7"/>
        <v>10.256410256410255</v>
      </c>
      <c r="Q40" s="359">
        <f t="shared" si="7"/>
        <v>7.6923076923076925</v>
      </c>
      <c r="R40" s="361"/>
      <c r="S40" s="361"/>
      <c r="T40" s="362"/>
      <c r="U40" s="363"/>
      <c r="V40" s="364"/>
      <c r="W40" s="365"/>
      <c r="X40" s="366"/>
      <c r="Y40" s="367">
        <v>0</v>
      </c>
      <c r="Z40" s="365" t="e">
        <f>Y40/R40*100</f>
        <v>#DIV/0!</v>
      </c>
      <c r="AA40" s="365" t="e">
        <f>Z40*T40/100</f>
        <v>#DIV/0!</v>
      </c>
      <c r="AB40" s="368"/>
    </row>
    <row r="41" spans="2:29" s="271" customFormat="1" ht="15" customHeight="1">
      <c r="B41" s="355" t="s">
        <v>150</v>
      </c>
      <c r="C41" s="356"/>
      <c r="D41" s="357"/>
      <c r="E41" s="358"/>
      <c r="F41" s="359">
        <f>SUM($F$40:F40)</f>
        <v>5.1282051282051277</v>
      </c>
      <c r="G41" s="359">
        <f>SUM($F$40:G40)</f>
        <v>12.820512820512821</v>
      </c>
      <c r="H41" s="359">
        <f>SUM($F$40:H40)</f>
        <v>23.972814334260118</v>
      </c>
      <c r="I41" s="359">
        <f>SUM($F$40:I40)</f>
        <v>30.672814334260117</v>
      </c>
      <c r="J41" s="359">
        <f>SUM($F$40:J40)</f>
        <v>34.22922459067037</v>
      </c>
      <c r="K41" s="359">
        <f>SUM($F$40:K40)</f>
        <v>41.921532282978063</v>
      </c>
      <c r="L41" s="359">
        <f>SUM($F$40:L40)</f>
        <v>49.613839975285757</v>
      </c>
      <c r="M41" s="359">
        <f>SUM($F$40:M40)</f>
        <v>59.870250231696012</v>
      </c>
      <c r="N41" s="359">
        <f>SUM($F$40:N40)</f>
        <v>70.960766141489032</v>
      </c>
      <c r="O41" s="359">
        <f>SUM($F$40:O40)</f>
        <v>82.051282051282044</v>
      </c>
      <c r="P41" s="359">
        <f>SUM($F$40:P40)</f>
        <v>92.307692307692292</v>
      </c>
      <c r="Q41" s="359">
        <f>SUM($F$40:Q40)</f>
        <v>99.999999999999986</v>
      </c>
      <c r="R41" s="369"/>
      <c r="S41" s="369"/>
      <c r="T41" s="362"/>
      <c r="U41" s="363"/>
      <c r="V41" s="364"/>
      <c r="W41" s="365"/>
      <c r="X41" s="366"/>
      <c r="Y41" s="367">
        <v>0</v>
      </c>
      <c r="Z41" s="365" t="e">
        <f>Y41/R41*100</f>
        <v>#DIV/0!</v>
      </c>
      <c r="AA41" s="365" t="e">
        <f>Z41*T41/100</f>
        <v>#DIV/0!</v>
      </c>
      <c r="AB41" s="368"/>
    </row>
    <row r="42" spans="2:29" s="271" customFormat="1" ht="15" customHeight="1">
      <c r="B42" s="355" t="s">
        <v>151</v>
      </c>
      <c r="C42" s="356"/>
      <c r="D42" s="357"/>
      <c r="E42" s="358"/>
      <c r="F42" s="359">
        <f>F40*$T$19/100</f>
        <v>7.992856566393676E-2</v>
      </c>
      <c r="G42" s="359">
        <f t="shared" ref="G42:Q42" si="8">G40*$T$19/100</f>
        <v>0.11989284849590515</v>
      </c>
      <c r="H42" s="359">
        <f t="shared" si="8"/>
        <v>0.17382055544988659</v>
      </c>
      <c r="I42" s="359">
        <f t="shared" si="8"/>
        <v>0.10442667103993339</v>
      </c>
      <c r="J42" s="359">
        <f t="shared" si="8"/>
        <v>5.5430460287940138E-2</v>
      </c>
      <c r="K42" s="359">
        <f t="shared" si="8"/>
        <v>0.11989284849590515</v>
      </c>
      <c r="L42" s="359">
        <f t="shared" si="8"/>
        <v>0.11989284849590515</v>
      </c>
      <c r="M42" s="359">
        <f t="shared" si="8"/>
        <v>0.15985713132787352</v>
      </c>
      <c r="N42" s="359">
        <f t="shared" si="8"/>
        <v>0.17285756068285121</v>
      </c>
      <c r="O42" s="359">
        <f t="shared" si="8"/>
        <v>0.17285756068285121</v>
      </c>
      <c r="P42" s="359">
        <f t="shared" si="8"/>
        <v>0.15985713132787352</v>
      </c>
      <c r="Q42" s="359">
        <f t="shared" si="8"/>
        <v>0.11989284849590515</v>
      </c>
      <c r="R42" s="369"/>
      <c r="S42" s="369"/>
      <c r="T42" s="362"/>
      <c r="U42" s="363"/>
      <c r="V42" s="364"/>
      <c r="W42" s="365"/>
      <c r="X42" s="366"/>
      <c r="Y42" s="367"/>
      <c r="Z42" s="365"/>
      <c r="AA42" s="370"/>
      <c r="AB42" s="368"/>
    </row>
    <row r="43" spans="2:29" s="271" customFormat="1" ht="15" customHeight="1">
      <c r="B43" s="371"/>
      <c r="C43" s="372"/>
      <c r="D43" s="373"/>
      <c r="E43" s="374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76"/>
      <c r="S43" s="376"/>
      <c r="T43" s="377"/>
      <c r="U43" s="363"/>
      <c r="V43" s="364"/>
      <c r="W43" s="365"/>
      <c r="X43" s="366"/>
      <c r="Y43" s="367">
        <v>0</v>
      </c>
      <c r="Z43" s="365">
        <v>0</v>
      </c>
      <c r="AA43" s="365">
        <v>0</v>
      </c>
      <c r="AB43" s="368"/>
    </row>
    <row r="44" spans="2:29" s="271" customFormat="1" ht="15" customHeight="1">
      <c r="B44" s="389" t="s">
        <v>154</v>
      </c>
      <c r="C44" s="390"/>
      <c r="D44" s="391"/>
      <c r="E44" s="392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4"/>
      <c r="S44" s="394"/>
      <c r="T44" s="395"/>
      <c r="U44" s="396"/>
      <c r="V44" s="397"/>
      <c r="W44" s="398"/>
      <c r="X44" s="399"/>
      <c r="Y44" s="394">
        <v>0</v>
      </c>
      <c r="Z44" s="398">
        <v>0</v>
      </c>
      <c r="AA44" s="398">
        <v>0</v>
      </c>
      <c r="AB44" s="400"/>
    </row>
    <row r="45" spans="2:29" s="271" customFormat="1" ht="15" customHeight="1">
      <c r="B45" s="401"/>
      <c r="C45" s="402"/>
      <c r="D45" s="403"/>
      <c r="E45" s="403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5"/>
      <c r="S45" s="405"/>
      <c r="T45" s="395"/>
      <c r="U45" s="396"/>
      <c r="V45" s="397"/>
      <c r="W45" s="398"/>
      <c r="X45" s="398"/>
      <c r="Y45" s="394"/>
      <c r="Z45" s="398"/>
      <c r="AA45" s="398"/>
      <c r="AB45" s="331"/>
    </row>
    <row r="46" spans="2:29" s="271" customFormat="1" ht="18" customHeight="1" thickBot="1">
      <c r="B46" s="406" t="s">
        <v>41</v>
      </c>
      <c r="C46" s="407"/>
      <c r="D46" s="408"/>
      <c r="E46" s="409"/>
      <c r="F46" s="410">
        <f>F22</f>
        <v>3.4691779309822819E-2</v>
      </c>
      <c r="G46" s="410">
        <f t="shared" ref="G46:Q46" si="9">G22</f>
        <v>0.11834627441828192</v>
      </c>
      <c r="H46" s="410">
        <f t="shared" si="9"/>
        <v>0.14168438049943546</v>
      </c>
      <c r="I46" s="410">
        <f t="shared" si="9"/>
        <v>0.43796857555554153</v>
      </c>
      <c r="J46" s="410">
        <f t="shared" si="9"/>
        <v>0.10598527807038016</v>
      </c>
      <c r="K46" s="410">
        <f t="shared" si="9"/>
        <v>0.18702022846113575</v>
      </c>
      <c r="L46" s="410">
        <f t="shared" si="9"/>
        <v>5.101268457603491E-2</v>
      </c>
      <c r="M46" s="410">
        <f t="shared" si="9"/>
        <v>5.101268457603491E-2</v>
      </c>
      <c r="N46" s="410">
        <f t="shared" si="9"/>
        <v>0.18702022846113575</v>
      </c>
      <c r="O46" s="410">
        <f t="shared" si="9"/>
        <v>5.101268457603491E-2</v>
      </c>
      <c r="P46" s="410">
        <f t="shared" si="9"/>
        <v>0.14168438049943546</v>
      </c>
      <c r="Q46" s="410">
        <f t="shared" si="9"/>
        <v>5.101268457603491E-2</v>
      </c>
      <c r="R46" s="411"/>
      <c r="S46" s="411"/>
      <c r="T46" s="412"/>
      <c r="U46" s="413"/>
      <c r="V46" s="414"/>
      <c r="W46" s="415"/>
      <c r="X46" s="415" t="e">
        <f>SUM(X19:X42)</f>
        <v>#DIV/0!</v>
      </c>
      <c r="Y46" s="416" t="e">
        <f>Y18</f>
        <v>#REF!</v>
      </c>
      <c r="Z46" s="416">
        <f>Z18</f>
        <v>0</v>
      </c>
      <c r="AA46" s="417" t="e">
        <f>AA19+#REF!+#REF!+#REF!+#REF!+#REF!+#REF!</f>
        <v>#REF!</v>
      </c>
      <c r="AB46" s="418"/>
    </row>
    <row r="47" spans="2:29" s="271" customFormat="1" ht="18" customHeight="1" thickTop="1" thickBot="1">
      <c r="B47" s="419" t="s">
        <v>42</v>
      </c>
      <c r="C47" s="420"/>
      <c r="D47" s="420"/>
      <c r="E47" s="421"/>
      <c r="F47" s="422">
        <f>SUM($F$46:F46)</f>
        <v>3.4691779309822819E-2</v>
      </c>
      <c r="G47" s="422">
        <f>SUM($F$46:G46)</f>
        <v>0.15303805372810475</v>
      </c>
      <c r="H47" s="422">
        <f>SUM($F$46:H46)</f>
        <v>0.29472243422754019</v>
      </c>
      <c r="I47" s="422">
        <f>SUM($F$46:I46)</f>
        <v>0.73269100978308166</v>
      </c>
      <c r="J47" s="422">
        <f>SUM($F$46:J46)</f>
        <v>0.83867628785346182</v>
      </c>
      <c r="K47" s="422">
        <f>SUM($F$46:K46)</f>
        <v>1.0256965163145977</v>
      </c>
      <c r="L47" s="422">
        <f>SUM($F$46:L46)</f>
        <v>1.0767092008906325</v>
      </c>
      <c r="M47" s="422">
        <f>SUM($F$46:M46)</f>
        <v>1.1277218854666673</v>
      </c>
      <c r="N47" s="422">
        <f>SUM($F$46:N46)</f>
        <v>1.314742113927803</v>
      </c>
      <c r="O47" s="422">
        <f>SUM($F$46:O46)</f>
        <v>1.3657547985038379</v>
      </c>
      <c r="P47" s="422">
        <f>SUM($F$46:P46)</f>
        <v>1.5074391790032733</v>
      </c>
      <c r="Q47" s="422">
        <f>SUM($F$46:Q46)</f>
        <v>1.5584518635793081</v>
      </c>
      <c r="R47" s="421"/>
      <c r="S47" s="421"/>
      <c r="T47" s="423"/>
      <c r="U47" s="424"/>
      <c r="V47" s="425"/>
      <c r="W47" s="425"/>
      <c r="X47" s="425"/>
      <c r="Y47" s="425"/>
      <c r="Z47" s="426"/>
      <c r="AA47" s="426"/>
      <c r="AB47" s="426"/>
    </row>
    <row r="48" spans="2:29" s="271" customFormat="1">
      <c r="B48" s="312"/>
      <c r="C48" s="84"/>
      <c r="D48" s="84"/>
      <c r="E48" s="84"/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8"/>
      <c r="R48" s="84"/>
      <c r="S48" s="84"/>
      <c r="T48" s="87"/>
      <c r="U48" s="312"/>
      <c r="V48" s="84"/>
      <c r="W48" s="84"/>
      <c r="X48" s="84"/>
      <c r="Y48" s="84"/>
      <c r="Z48" s="429"/>
      <c r="AA48" s="429"/>
      <c r="AB48" s="429"/>
    </row>
    <row r="49" spans="1:28" s="271" customForma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74" t="s">
        <v>155</v>
      </c>
      <c r="U49" s="274"/>
      <c r="V49" s="8"/>
      <c r="W49" s="95"/>
      <c r="X49" s="8"/>
      <c r="Y49" s="95"/>
      <c r="Z49" s="8"/>
      <c r="AA49" s="274" t="s">
        <v>156</v>
      </c>
    </row>
    <row r="50" spans="1:28" s="271" customFormat="1">
      <c r="B50" s="274" t="s">
        <v>98</v>
      </c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8"/>
      <c r="T50" s="274"/>
      <c r="U50" s="274"/>
      <c r="V50" s="274"/>
      <c r="W50" s="274"/>
      <c r="X50" s="274"/>
      <c r="Y50" s="430"/>
      <c r="Z50" s="274"/>
      <c r="AA50" s="8"/>
      <c r="AB50" s="274"/>
    </row>
    <row r="51" spans="1:28" s="271" customFormat="1">
      <c r="B51" s="274" t="s">
        <v>99</v>
      </c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 t="s">
        <v>46</v>
      </c>
      <c r="U51" s="274"/>
      <c r="V51" s="274"/>
      <c r="W51" s="274"/>
      <c r="X51" s="274"/>
      <c r="Y51" s="430"/>
      <c r="AA51" s="274" t="s">
        <v>157</v>
      </c>
    </row>
    <row r="52" spans="1:28" s="271" customFormat="1">
      <c r="B52" s="274" t="s">
        <v>56</v>
      </c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8"/>
      <c r="T52" s="274"/>
      <c r="U52" s="274"/>
      <c r="V52" s="274"/>
      <c r="W52" s="274"/>
      <c r="X52" s="274"/>
      <c r="Y52" s="431"/>
      <c r="Z52" s="274"/>
      <c r="AA52" s="8"/>
      <c r="AB52" s="274"/>
    </row>
    <row r="53" spans="1:28" s="271" customFormat="1"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8"/>
      <c r="T53" s="274"/>
      <c r="U53" s="274"/>
      <c r="V53" s="274"/>
      <c r="W53" s="274"/>
      <c r="X53" s="274"/>
      <c r="Y53" s="432"/>
      <c r="Z53" s="274"/>
      <c r="AA53" s="8"/>
      <c r="AB53" s="274"/>
    </row>
    <row r="54" spans="1:28" s="271" customFormat="1"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8"/>
      <c r="T54" s="274"/>
      <c r="U54" s="274"/>
      <c r="V54" s="274"/>
      <c r="W54" s="274"/>
      <c r="X54" s="274"/>
      <c r="Y54" s="430"/>
      <c r="Z54" s="274"/>
      <c r="AA54" s="8"/>
      <c r="AB54" s="274"/>
    </row>
    <row r="55" spans="1:28" s="271" customFormat="1">
      <c r="B55" s="433" t="s">
        <v>158</v>
      </c>
      <c r="C55" s="433"/>
      <c r="D55" s="433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 t="s">
        <v>159</v>
      </c>
      <c r="U55" s="433"/>
      <c r="V55" s="433"/>
      <c r="W55" s="433"/>
      <c r="X55" s="433"/>
      <c r="Y55" s="434"/>
      <c r="Z55" s="433"/>
      <c r="AA55" s="433" t="s">
        <v>160</v>
      </c>
    </row>
    <row r="56" spans="1:28" s="271" customFormat="1">
      <c r="B56" s="274" t="s">
        <v>49</v>
      </c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 t="s">
        <v>161</v>
      </c>
      <c r="U56" s="274"/>
      <c r="V56" s="274"/>
      <c r="W56" s="274"/>
      <c r="X56" s="274"/>
      <c r="Y56" s="430"/>
      <c r="Z56" s="274"/>
      <c r="AA56" s="274" t="s">
        <v>162</v>
      </c>
    </row>
    <row r="57" spans="1:28" s="271" customForma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95"/>
      <c r="S57" s="95"/>
      <c r="T57" s="8"/>
      <c r="U57" s="274"/>
      <c r="V57" s="8"/>
      <c r="W57" s="8"/>
      <c r="X57" s="8"/>
      <c r="Y57" s="95"/>
      <c r="Z57" s="8"/>
      <c r="AA57" s="8"/>
      <c r="AB57" s="8"/>
    </row>
    <row r="58" spans="1:28" s="271" customFormat="1">
      <c r="U58" s="435"/>
    </row>
    <row r="59" spans="1:28" s="271" customFormat="1">
      <c r="U59" s="435"/>
    </row>
    <row r="60" spans="1:28" s="271" customFormat="1">
      <c r="U60" s="435"/>
    </row>
    <row r="61" spans="1:28" s="271" customFormat="1">
      <c r="A61" s="436"/>
      <c r="B61" s="436"/>
      <c r="C61" s="436"/>
      <c r="D61" s="436"/>
      <c r="E61" s="436"/>
      <c r="F61" s="436"/>
      <c r="G61" s="436"/>
      <c r="H61" s="436"/>
      <c r="I61" s="436"/>
      <c r="J61" s="436"/>
      <c r="K61" s="436"/>
      <c r="L61" s="436"/>
      <c r="U61" s="435"/>
    </row>
    <row r="62" spans="1:28" s="271" customFormat="1">
      <c r="A62" s="436"/>
      <c r="B62" s="437"/>
      <c r="C62" s="438"/>
      <c r="D62" s="436"/>
      <c r="E62" s="436"/>
      <c r="F62" s="436"/>
      <c r="G62" s="436"/>
      <c r="H62" s="436"/>
      <c r="I62" s="436"/>
      <c r="J62" s="436"/>
      <c r="K62" s="436"/>
      <c r="L62" s="436"/>
      <c r="U62" s="435"/>
    </row>
    <row r="63" spans="1:28" s="271" customFormat="1">
      <c r="A63" s="436"/>
      <c r="B63" s="436"/>
      <c r="C63" s="436"/>
      <c r="D63" s="436"/>
      <c r="E63" s="436"/>
      <c r="F63" s="436"/>
      <c r="G63" s="436"/>
      <c r="H63" s="436"/>
      <c r="I63" s="437"/>
      <c r="J63" s="436"/>
      <c r="K63" s="436"/>
      <c r="L63" s="436"/>
      <c r="U63" s="435"/>
    </row>
    <row r="64" spans="1:28" s="271" customFormat="1">
      <c r="U64" s="435"/>
    </row>
    <row r="65" spans="21:21" s="271" customFormat="1">
      <c r="U65" s="435"/>
    </row>
    <row r="66" spans="21:21" s="271" customFormat="1">
      <c r="U66" s="435"/>
    </row>
    <row r="67" spans="21:21" s="271" customFormat="1">
      <c r="U67" s="435"/>
    </row>
    <row r="68" spans="21:21" s="271" customFormat="1">
      <c r="U68" s="435"/>
    </row>
    <row r="69" spans="21:21" s="271" customFormat="1">
      <c r="U69" s="435"/>
    </row>
    <row r="70" spans="21:21" s="271" customFormat="1">
      <c r="U70" s="435"/>
    </row>
    <row r="71" spans="21:21" s="271" customFormat="1">
      <c r="U71" s="435"/>
    </row>
    <row r="72" spans="21:21" s="271" customFormat="1">
      <c r="U72" s="435"/>
    </row>
    <row r="73" spans="21:21" s="271" customFormat="1">
      <c r="U73" s="435"/>
    </row>
    <row r="74" spans="21:21" s="271" customFormat="1">
      <c r="U74" s="435"/>
    </row>
    <row r="75" spans="21:21" s="271" customFormat="1">
      <c r="U75" s="435"/>
    </row>
    <row r="76" spans="21:21" s="271" customFormat="1">
      <c r="U76" s="435"/>
    </row>
    <row r="77" spans="21:21" s="271" customFormat="1">
      <c r="U77" s="435"/>
    </row>
    <row r="78" spans="21:21" s="271" customFormat="1">
      <c r="U78" s="435"/>
    </row>
    <row r="79" spans="21:21" s="271" customFormat="1">
      <c r="U79" s="435"/>
    </row>
    <row r="80" spans="21:21" s="271" customFormat="1">
      <c r="U80" s="435"/>
    </row>
    <row r="81" spans="21:21" s="271" customFormat="1">
      <c r="U81" s="435"/>
    </row>
    <row r="82" spans="21:21" s="271" customFormat="1">
      <c r="U82" s="435"/>
    </row>
    <row r="83" spans="21:21" s="271" customFormat="1">
      <c r="U83" s="435"/>
    </row>
    <row r="84" spans="21:21" s="271" customFormat="1">
      <c r="U84" s="435"/>
    </row>
    <row r="85" spans="21:21" s="271" customFormat="1">
      <c r="U85" s="435"/>
    </row>
    <row r="86" spans="21:21" s="271" customFormat="1">
      <c r="U86" s="435"/>
    </row>
    <row r="87" spans="21:21" s="271" customFormat="1">
      <c r="U87" s="435"/>
    </row>
    <row r="88" spans="21:21" s="271" customFormat="1">
      <c r="U88" s="435"/>
    </row>
    <row r="89" spans="21:21" s="271" customFormat="1">
      <c r="U89" s="435"/>
    </row>
    <row r="90" spans="21:21" s="271" customFormat="1">
      <c r="U90" s="435"/>
    </row>
    <row r="91" spans="21:21" s="271" customFormat="1">
      <c r="U91" s="435"/>
    </row>
    <row r="92" spans="21:21" s="271" customFormat="1">
      <c r="U92" s="435"/>
    </row>
    <row r="93" spans="21:21" s="271" customFormat="1">
      <c r="U93" s="435"/>
    </row>
    <row r="94" spans="21:21" s="271" customFormat="1">
      <c r="U94" s="435"/>
    </row>
  </sheetData>
  <mergeCells count="20">
    <mergeCell ref="U14:V14"/>
    <mergeCell ref="C16:D16"/>
    <mergeCell ref="U16:V16"/>
    <mergeCell ref="C46:D46"/>
    <mergeCell ref="Y12:AA12"/>
    <mergeCell ref="F13:H13"/>
    <mergeCell ref="I13:K13"/>
    <mergeCell ref="L13:N13"/>
    <mergeCell ref="O13:Q13"/>
    <mergeCell ref="U13:V13"/>
    <mergeCell ref="B1:AB1"/>
    <mergeCell ref="B2:AB2"/>
    <mergeCell ref="C7:E7"/>
    <mergeCell ref="B12:B15"/>
    <mergeCell ref="C12:D15"/>
    <mergeCell ref="E12:E15"/>
    <mergeCell ref="F12:Q12"/>
    <mergeCell ref="R12:R14"/>
    <mergeCell ref="S12:S14"/>
    <mergeCell ref="U12:X12"/>
  </mergeCells>
  <printOptions horizontalCentered="1"/>
  <pageMargins left="0.31496062992125984" right="0.11811023622047245" top="0.15748031496062992" bottom="0.15748031496062992" header="0.31496062992125984" footer="0.31496062992125984"/>
  <pageSetup paperSize="121" scale="8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72"/>
  <sheetViews>
    <sheetView workbookViewId="0">
      <selection activeCell="J20" sqref="J20"/>
    </sheetView>
  </sheetViews>
  <sheetFormatPr defaultRowHeight="12.75"/>
  <cols>
    <col min="1" max="1" width="0.5703125" style="444" customWidth="1"/>
    <col min="2" max="2" width="31.5703125" style="444" customWidth="1"/>
    <col min="3" max="3" width="3.42578125" style="444" customWidth="1"/>
    <col min="4" max="4" width="7.7109375" style="444" customWidth="1"/>
    <col min="5" max="5" width="7.85546875" style="444" customWidth="1"/>
    <col min="6" max="6" width="6" style="444" customWidth="1"/>
    <col min="7" max="7" width="6.7109375" style="444" bestFit="1" customWidth="1"/>
    <col min="8" max="8" width="7.42578125" style="444" bestFit="1" customWidth="1"/>
    <col min="9" max="9" width="7.28515625" style="444" customWidth="1"/>
    <col min="10" max="10" width="8" style="444" customWidth="1"/>
    <col min="11" max="14" width="7.42578125" style="444" bestFit="1" customWidth="1"/>
    <col min="15" max="15" width="7.140625" style="444" customWidth="1"/>
    <col min="16" max="16" width="7.5703125" style="444" customWidth="1"/>
    <col min="17" max="17" width="7.7109375" style="444" customWidth="1"/>
    <col min="18" max="18" width="12.5703125" style="444" customWidth="1"/>
    <col min="19" max="20" width="8.28515625" style="444" customWidth="1"/>
    <col min="21" max="21" width="4.7109375" style="572" hidden="1" customWidth="1"/>
    <col min="22" max="22" width="5" style="444" hidden="1" customWidth="1"/>
    <col min="23" max="23" width="9.7109375" style="444" hidden="1" customWidth="1"/>
    <col min="24" max="24" width="8.28515625" style="444" hidden="1" customWidth="1"/>
    <col min="25" max="25" width="14.85546875" style="444" hidden="1" customWidth="1"/>
    <col min="26" max="27" width="11.140625" style="444" hidden="1" customWidth="1"/>
    <col min="28" max="28" width="17.140625" style="444" hidden="1" customWidth="1"/>
    <col min="29" max="30" width="9.140625" style="444"/>
    <col min="31" max="31" width="15.42578125" style="444" customWidth="1"/>
    <col min="32" max="32" width="12.28515625" style="444" customWidth="1"/>
    <col min="33" max="16384" width="9.140625" style="444"/>
  </cols>
  <sheetData>
    <row r="1" spans="2:32" s="440" customFormat="1" ht="15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32" s="440" customFormat="1" ht="15.7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32" s="441" customFormat="1" ht="10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"/>
      <c r="V3" s="3"/>
      <c r="W3" s="3"/>
      <c r="X3" s="3"/>
      <c r="Y3" s="3"/>
      <c r="Z3" s="3"/>
      <c r="AA3" s="3"/>
      <c r="AB3" s="3"/>
    </row>
    <row r="4" spans="2:32" s="441" customFormat="1">
      <c r="B4" s="3" t="s">
        <v>2</v>
      </c>
      <c r="C4" s="5" t="s">
        <v>3</v>
      </c>
      <c r="D4" s="3" t="s">
        <v>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T4" s="3"/>
      <c r="U4" s="5"/>
      <c r="V4" s="3"/>
      <c r="W4" s="3"/>
      <c r="X4" s="3"/>
      <c r="Y4" s="3"/>
      <c r="Z4" s="3"/>
      <c r="AA4" s="3"/>
      <c r="AB4" s="3"/>
    </row>
    <row r="5" spans="2:32" s="441" customFormat="1">
      <c r="B5" s="3" t="s">
        <v>5</v>
      </c>
      <c r="C5" s="5" t="s">
        <v>3</v>
      </c>
      <c r="D5" s="3" t="s">
        <v>163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T5" s="3"/>
      <c r="U5" s="5"/>
      <c r="V5" s="3"/>
      <c r="W5" s="3"/>
      <c r="X5" s="3"/>
      <c r="Y5" s="3"/>
      <c r="Z5" s="3"/>
      <c r="AA5" s="3"/>
      <c r="AB5" s="3"/>
    </row>
    <row r="6" spans="2:32" s="441" customFormat="1">
      <c r="B6" s="3" t="s">
        <v>7</v>
      </c>
      <c r="C6" s="6" t="s">
        <v>3</v>
      </c>
      <c r="D6" s="442">
        <f>SUM(R14)</f>
        <v>667360000</v>
      </c>
      <c r="E6" s="442"/>
      <c r="F6" s="44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U6" s="5"/>
      <c r="V6" s="443"/>
      <c r="W6" s="443"/>
      <c r="X6" s="3"/>
      <c r="Y6" s="3"/>
      <c r="Z6" s="3"/>
      <c r="AA6" s="3"/>
      <c r="AB6" s="3"/>
    </row>
    <row r="7" spans="2:32" ht="9.75" customHeight="1" thickBo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274"/>
      <c r="V7" s="8"/>
      <c r="W7" s="8"/>
      <c r="X7" s="8"/>
      <c r="Y7" s="8"/>
      <c r="Z7" s="272"/>
      <c r="AA7" s="272"/>
      <c r="AB7" s="272"/>
    </row>
    <row r="8" spans="2:32" s="457" customFormat="1" ht="18.75" customHeight="1" thickTop="1">
      <c r="B8" s="445" t="s">
        <v>8</v>
      </c>
      <c r="C8" s="446" t="s">
        <v>9</v>
      </c>
      <c r="D8" s="447"/>
      <c r="E8" s="448" t="s">
        <v>10</v>
      </c>
      <c r="F8" s="449" t="s">
        <v>11</v>
      </c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1"/>
      <c r="R8" s="448" t="s">
        <v>7</v>
      </c>
      <c r="S8" s="448" t="s">
        <v>12</v>
      </c>
      <c r="T8" s="452" t="s">
        <v>13</v>
      </c>
      <c r="U8" s="453" t="s">
        <v>130</v>
      </c>
      <c r="V8" s="453"/>
      <c r="W8" s="453"/>
      <c r="X8" s="454"/>
      <c r="Y8" s="455" t="s">
        <v>131</v>
      </c>
      <c r="Z8" s="453"/>
      <c r="AA8" s="454"/>
      <c r="AB8" s="456"/>
    </row>
    <row r="9" spans="2:32" s="457" customFormat="1">
      <c r="B9" s="458"/>
      <c r="C9" s="459"/>
      <c r="D9" s="460"/>
      <c r="E9" s="461"/>
      <c r="F9" s="462" t="s">
        <v>14</v>
      </c>
      <c r="G9" s="463"/>
      <c r="H9" s="464"/>
      <c r="I9" s="462" t="s">
        <v>15</v>
      </c>
      <c r="J9" s="463"/>
      <c r="K9" s="464"/>
      <c r="L9" s="462" t="s">
        <v>16</v>
      </c>
      <c r="M9" s="463"/>
      <c r="N9" s="464"/>
      <c r="O9" s="462" t="s">
        <v>17</v>
      </c>
      <c r="P9" s="463"/>
      <c r="Q9" s="464"/>
      <c r="R9" s="461"/>
      <c r="S9" s="461"/>
      <c r="T9" s="465" t="s">
        <v>18</v>
      </c>
      <c r="U9" s="466" t="s">
        <v>132</v>
      </c>
      <c r="V9" s="467"/>
      <c r="W9" s="468" t="s">
        <v>133</v>
      </c>
      <c r="X9" s="468" t="s">
        <v>134</v>
      </c>
      <c r="Y9" s="468" t="s">
        <v>133</v>
      </c>
      <c r="Z9" s="468" t="s">
        <v>135</v>
      </c>
      <c r="AA9" s="468" t="s">
        <v>136</v>
      </c>
      <c r="AB9" s="469" t="s">
        <v>137</v>
      </c>
    </row>
    <row r="10" spans="2:32" s="457" customFormat="1" ht="12.75" customHeight="1">
      <c r="B10" s="458"/>
      <c r="C10" s="459"/>
      <c r="D10" s="460"/>
      <c r="E10" s="461"/>
      <c r="F10" s="470" t="s">
        <v>19</v>
      </c>
      <c r="G10" s="470" t="s">
        <v>20</v>
      </c>
      <c r="H10" s="470" t="s">
        <v>21</v>
      </c>
      <c r="I10" s="470" t="s">
        <v>22</v>
      </c>
      <c r="J10" s="470" t="s">
        <v>23</v>
      </c>
      <c r="K10" s="470" t="s">
        <v>24</v>
      </c>
      <c r="L10" s="470" t="s">
        <v>25</v>
      </c>
      <c r="M10" s="470" t="s">
        <v>26</v>
      </c>
      <c r="N10" s="470" t="s">
        <v>27</v>
      </c>
      <c r="O10" s="470" t="s">
        <v>28</v>
      </c>
      <c r="P10" s="470" t="s">
        <v>29</v>
      </c>
      <c r="Q10" s="470" t="s">
        <v>30</v>
      </c>
      <c r="R10" s="461"/>
      <c r="S10" s="461"/>
      <c r="T10" s="465"/>
      <c r="U10" s="471" t="s">
        <v>139</v>
      </c>
      <c r="V10" s="472"/>
      <c r="W10" s="468" t="s">
        <v>140</v>
      </c>
      <c r="X10" s="468" t="s">
        <v>141</v>
      </c>
      <c r="Y10" s="468" t="s">
        <v>142</v>
      </c>
      <c r="Z10" s="468" t="s">
        <v>143</v>
      </c>
      <c r="AA10" s="468" t="s">
        <v>141</v>
      </c>
      <c r="AB10" s="469" t="s">
        <v>144</v>
      </c>
    </row>
    <row r="11" spans="2:32" s="457" customFormat="1" ht="9" customHeight="1">
      <c r="B11" s="473"/>
      <c r="C11" s="474"/>
      <c r="D11" s="475"/>
      <c r="E11" s="476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7" t="s">
        <v>31</v>
      </c>
      <c r="S11" s="477" t="s">
        <v>31</v>
      </c>
      <c r="T11" s="478" t="s">
        <v>32</v>
      </c>
      <c r="U11" s="479"/>
      <c r="V11" s="480"/>
      <c r="W11" s="468" t="s">
        <v>32</v>
      </c>
      <c r="X11" s="468" t="s">
        <v>32</v>
      </c>
      <c r="Y11" s="468" t="s">
        <v>31</v>
      </c>
      <c r="Z11" s="468" t="s">
        <v>32</v>
      </c>
      <c r="AA11" s="468" t="s">
        <v>32</v>
      </c>
      <c r="AB11" s="469"/>
    </row>
    <row r="12" spans="2:32" s="492" customFormat="1" ht="12" customHeight="1">
      <c r="B12" s="481">
        <v>1</v>
      </c>
      <c r="C12" s="482">
        <v>2</v>
      </c>
      <c r="D12" s="483"/>
      <c r="E12" s="484">
        <v>3</v>
      </c>
      <c r="F12" s="484">
        <v>4</v>
      </c>
      <c r="G12" s="484">
        <v>5</v>
      </c>
      <c r="H12" s="484">
        <v>6</v>
      </c>
      <c r="I12" s="484">
        <v>7</v>
      </c>
      <c r="J12" s="484">
        <v>8</v>
      </c>
      <c r="K12" s="484">
        <v>9</v>
      </c>
      <c r="L12" s="484">
        <v>10</v>
      </c>
      <c r="M12" s="484">
        <v>11</v>
      </c>
      <c r="N12" s="484">
        <v>12</v>
      </c>
      <c r="O12" s="484">
        <v>13</v>
      </c>
      <c r="P12" s="484">
        <v>14</v>
      </c>
      <c r="Q12" s="484">
        <v>15</v>
      </c>
      <c r="R12" s="485">
        <v>16</v>
      </c>
      <c r="S12" s="486">
        <v>17</v>
      </c>
      <c r="T12" s="487">
        <v>18</v>
      </c>
      <c r="U12" s="488">
        <v>7</v>
      </c>
      <c r="V12" s="489"/>
      <c r="W12" s="490">
        <v>8</v>
      </c>
      <c r="X12" s="490">
        <v>9</v>
      </c>
      <c r="Y12" s="490">
        <v>10</v>
      </c>
      <c r="Z12" s="490">
        <v>11</v>
      </c>
      <c r="AA12" s="490">
        <v>12</v>
      </c>
      <c r="AB12" s="491">
        <v>13</v>
      </c>
    </row>
    <row r="13" spans="2:32" s="441" customFormat="1" ht="4.5" customHeight="1">
      <c r="B13" s="40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93"/>
      <c r="S13" s="43"/>
      <c r="T13" s="44"/>
      <c r="U13" s="494"/>
      <c r="V13" s="42"/>
      <c r="W13" s="43"/>
      <c r="X13" s="43"/>
      <c r="Y13" s="43"/>
      <c r="Z13" s="43"/>
      <c r="AA13" s="43"/>
      <c r="AB13" s="495"/>
    </row>
    <row r="14" spans="2:32" s="441" customFormat="1">
      <c r="B14" s="496" t="str">
        <f>D5</f>
        <v>PENGEMBANGAN KARIER APARATUR SIPIL NEGARA</v>
      </c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97">
        <f>SUM(R15:R33)</f>
        <v>667360000</v>
      </c>
      <c r="S14" s="48"/>
      <c r="T14" s="49">
        <f>SUM(T15:T32)</f>
        <v>100</v>
      </c>
      <c r="U14" s="498"/>
      <c r="V14" s="499"/>
      <c r="W14" s="500"/>
      <c r="X14" s="500" t="e">
        <f>X29+#REF!+X15+#REF!+X34+X25+#REF!+X44+#REF!+#REF!</f>
        <v>#DIV/0!</v>
      </c>
      <c r="Y14" s="500" t="e">
        <f>Y29+#REF!+Y15+#REF!+Y34+Y25+#REF!+Y44+#REF!+#REF!</f>
        <v>#REF!</v>
      </c>
      <c r="Z14" s="500">
        <v>0</v>
      </c>
      <c r="AA14" s="500" t="e">
        <f>AA29+#REF!+AA15+#REF!+AA34+AA25+#REF!+AA44</f>
        <v>#DIV/0!</v>
      </c>
      <c r="AB14" s="495"/>
    </row>
    <row r="15" spans="2:32" s="441" customFormat="1" ht="27" customHeight="1">
      <c r="B15" s="50" t="s">
        <v>164</v>
      </c>
      <c r="C15" s="501">
        <v>90</v>
      </c>
      <c r="D15" s="52" t="s">
        <v>34</v>
      </c>
      <c r="E15" s="53" t="s">
        <v>165</v>
      </c>
      <c r="F15" s="55">
        <v>0</v>
      </c>
      <c r="G15" s="55">
        <v>30</v>
      </c>
      <c r="H15" s="55">
        <v>0</v>
      </c>
      <c r="I15" s="55">
        <v>0</v>
      </c>
      <c r="J15" s="55">
        <v>0</v>
      </c>
      <c r="K15" s="55">
        <f>11*3</f>
        <v>33</v>
      </c>
      <c r="L15" s="55"/>
      <c r="M15" s="55"/>
      <c r="N15" s="55">
        <v>15</v>
      </c>
      <c r="O15" s="55">
        <v>0</v>
      </c>
      <c r="P15" s="502">
        <v>12</v>
      </c>
      <c r="Q15" s="55">
        <v>0</v>
      </c>
      <c r="R15" s="503">
        <v>29200000</v>
      </c>
      <c r="S15" s="56"/>
      <c r="T15" s="504">
        <f>R15/$R$14*100</f>
        <v>4.3754495324862139</v>
      </c>
      <c r="U15" s="505">
        <v>0</v>
      </c>
      <c r="V15" s="506" t="s">
        <v>166</v>
      </c>
      <c r="W15" s="507">
        <f>U15/C15*100</f>
        <v>0</v>
      </c>
      <c r="X15" s="507">
        <f>W15*T15/100</f>
        <v>0</v>
      </c>
      <c r="Y15" s="56">
        <f>SUM(Y16:Y19)</f>
        <v>0</v>
      </c>
      <c r="Z15" s="507">
        <f>Y15/R15*100</f>
        <v>0</v>
      </c>
      <c r="AA15" s="507">
        <f>Z15*T15/100</f>
        <v>0</v>
      </c>
      <c r="AB15" s="508"/>
      <c r="AC15" s="509">
        <f>SUM(F15:Q15)</f>
        <v>90</v>
      </c>
      <c r="AE15" s="441" t="s">
        <v>167</v>
      </c>
      <c r="AF15" s="441">
        <v>30795000</v>
      </c>
    </row>
    <row r="16" spans="2:32" s="441" customFormat="1" ht="15" customHeight="1">
      <c r="B16" s="58" t="s">
        <v>66</v>
      </c>
      <c r="C16" s="510"/>
      <c r="D16" s="60"/>
      <c r="E16" s="61"/>
      <c r="F16" s="511">
        <f t="shared" ref="F16:Q16" si="0">F15/$C$15*100</f>
        <v>0</v>
      </c>
      <c r="G16" s="511">
        <f t="shared" si="0"/>
        <v>33.333333333333329</v>
      </c>
      <c r="H16" s="511">
        <f t="shared" si="0"/>
        <v>0</v>
      </c>
      <c r="I16" s="511">
        <f t="shared" si="0"/>
        <v>0</v>
      </c>
      <c r="J16" s="511">
        <f t="shared" si="0"/>
        <v>0</v>
      </c>
      <c r="K16" s="511">
        <f t="shared" si="0"/>
        <v>36.666666666666664</v>
      </c>
      <c r="L16" s="511">
        <f t="shared" si="0"/>
        <v>0</v>
      </c>
      <c r="M16" s="511">
        <f t="shared" si="0"/>
        <v>0</v>
      </c>
      <c r="N16" s="511">
        <f t="shared" si="0"/>
        <v>16.666666666666664</v>
      </c>
      <c r="O16" s="511">
        <f t="shared" si="0"/>
        <v>0</v>
      </c>
      <c r="P16" s="511">
        <f t="shared" si="0"/>
        <v>13.333333333333334</v>
      </c>
      <c r="Q16" s="511">
        <f t="shared" si="0"/>
        <v>0</v>
      </c>
      <c r="R16" s="512"/>
      <c r="S16" s="63"/>
      <c r="T16" s="44"/>
      <c r="U16" s="513"/>
      <c r="V16" s="514"/>
      <c r="W16" s="515"/>
      <c r="X16" s="516"/>
      <c r="Y16" s="66">
        <v>0</v>
      </c>
      <c r="Z16" s="515" t="e">
        <f>Y16/R16*100</f>
        <v>#DIV/0!</v>
      </c>
      <c r="AA16" s="515" t="e">
        <f>Z16*T16/100</f>
        <v>#DIV/0!</v>
      </c>
      <c r="AB16" s="517"/>
      <c r="AC16" s="518">
        <f>SUM(I16:M16)</f>
        <v>36.666666666666664</v>
      </c>
    </row>
    <row r="17" spans="2:32" s="441" customFormat="1" ht="15" customHeight="1">
      <c r="B17" s="58" t="s">
        <v>67</v>
      </c>
      <c r="C17" s="510"/>
      <c r="D17" s="60"/>
      <c r="E17" s="61"/>
      <c r="F17" s="511">
        <f>SUM($F$16:F16)</f>
        <v>0</v>
      </c>
      <c r="G17" s="511">
        <f>SUM($F$16:G16)</f>
        <v>33.333333333333329</v>
      </c>
      <c r="H17" s="511">
        <f>SUM($F$16:H16)</f>
        <v>33.333333333333329</v>
      </c>
      <c r="I17" s="511">
        <f>SUM($F$16:I16)</f>
        <v>33.333333333333329</v>
      </c>
      <c r="J17" s="511">
        <f>SUM($F$16:J16)</f>
        <v>33.333333333333329</v>
      </c>
      <c r="K17" s="511">
        <f>SUM($F$16:K16)</f>
        <v>70</v>
      </c>
      <c r="L17" s="511">
        <f>SUM($F$16:L16)</f>
        <v>70</v>
      </c>
      <c r="M17" s="511">
        <f>SUM($F$16:M16)</f>
        <v>70</v>
      </c>
      <c r="N17" s="511">
        <f>SUM($F$16:N16)</f>
        <v>86.666666666666657</v>
      </c>
      <c r="O17" s="511">
        <f>SUM($F$16:O16)</f>
        <v>86.666666666666657</v>
      </c>
      <c r="P17" s="511">
        <f>SUM($F$16:P16)</f>
        <v>99.999999999999986</v>
      </c>
      <c r="Q17" s="511">
        <f>SUM($F$16:Q16)</f>
        <v>99.999999999999986</v>
      </c>
      <c r="R17" s="519"/>
      <c r="S17" s="66"/>
      <c r="T17" s="44"/>
      <c r="U17" s="513"/>
      <c r="V17" s="514"/>
      <c r="W17" s="515"/>
      <c r="X17" s="516"/>
      <c r="Y17" s="66">
        <v>0</v>
      </c>
      <c r="Z17" s="515" t="e">
        <f>Y17/R17*100</f>
        <v>#DIV/0!</v>
      </c>
      <c r="AA17" s="515" t="e">
        <f>Z17*T17/100</f>
        <v>#DIV/0!</v>
      </c>
      <c r="AB17" s="517"/>
      <c r="AE17" s="441">
        <f>54/168*100</f>
        <v>32.142857142857146</v>
      </c>
    </row>
    <row r="18" spans="2:32" s="441" customFormat="1" ht="15" customHeight="1">
      <c r="B18" s="58" t="s">
        <v>68</v>
      </c>
      <c r="C18" s="510"/>
      <c r="D18" s="60"/>
      <c r="E18" s="61"/>
      <c r="F18" s="511">
        <f>F16*$T$15/100</f>
        <v>0</v>
      </c>
      <c r="G18" s="511">
        <f t="shared" ref="G18:Q18" si="1">G16*$T$15/100</f>
        <v>1.4584831774954046</v>
      </c>
      <c r="H18" s="511">
        <f t="shared" si="1"/>
        <v>0</v>
      </c>
      <c r="I18" s="511">
        <f t="shared" si="1"/>
        <v>0</v>
      </c>
      <c r="J18" s="511">
        <f t="shared" si="1"/>
        <v>0</v>
      </c>
      <c r="K18" s="511">
        <f t="shared" si="1"/>
        <v>1.604331495244945</v>
      </c>
      <c r="L18" s="511">
        <f t="shared" si="1"/>
        <v>0</v>
      </c>
      <c r="M18" s="511">
        <f t="shared" si="1"/>
        <v>0</v>
      </c>
      <c r="N18" s="511">
        <f t="shared" si="1"/>
        <v>0.72924158874770229</v>
      </c>
      <c r="O18" s="511">
        <f t="shared" si="1"/>
        <v>0</v>
      </c>
      <c r="P18" s="511">
        <f t="shared" si="1"/>
        <v>0.58339327099816185</v>
      </c>
      <c r="Q18" s="511">
        <f t="shared" si="1"/>
        <v>0</v>
      </c>
      <c r="R18" s="519"/>
      <c r="S18" s="66"/>
      <c r="T18" s="44"/>
      <c r="U18" s="513"/>
      <c r="V18" s="514"/>
      <c r="W18" s="515"/>
      <c r="X18" s="516"/>
      <c r="Y18" s="66"/>
      <c r="Z18" s="515"/>
      <c r="AA18" s="515"/>
      <c r="AB18" s="517"/>
    </row>
    <row r="19" spans="2:32" s="441" customFormat="1" ht="3.75" customHeight="1">
      <c r="B19" s="67"/>
      <c r="C19" s="510"/>
      <c r="D19" s="60"/>
      <c r="E19" s="6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9"/>
      <c r="S19" s="66"/>
      <c r="T19" s="44"/>
      <c r="U19" s="513"/>
      <c r="V19" s="514"/>
      <c r="W19" s="515"/>
      <c r="X19" s="516"/>
      <c r="Y19" s="66">
        <v>0</v>
      </c>
      <c r="Z19" s="515">
        <v>0</v>
      </c>
      <c r="AA19" s="515">
        <v>0</v>
      </c>
      <c r="AB19" s="517"/>
    </row>
    <row r="20" spans="2:32" s="441" customFormat="1" ht="15" customHeight="1">
      <c r="B20" s="520" t="s">
        <v>168</v>
      </c>
      <c r="C20" s="501">
        <v>1</v>
      </c>
      <c r="D20" s="52" t="s">
        <v>147</v>
      </c>
      <c r="E20" s="53" t="s">
        <v>165</v>
      </c>
      <c r="F20" s="521"/>
      <c r="G20" s="521">
        <v>0.1</v>
      </c>
      <c r="H20" s="521">
        <v>0.1</v>
      </c>
      <c r="I20" s="521">
        <v>0.1</v>
      </c>
      <c r="J20" s="521">
        <v>0.1</v>
      </c>
      <c r="K20" s="521">
        <v>0.1</v>
      </c>
      <c r="L20" s="521">
        <v>0.1</v>
      </c>
      <c r="M20" s="521">
        <v>0.1</v>
      </c>
      <c r="N20" s="521">
        <v>0.1</v>
      </c>
      <c r="O20" s="521">
        <v>0.1</v>
      </c>
      <c r="P20" s="522">
        <v>0.1</v>
      </c>
      <c r="Q20" s="522"/>
      <c r="R20" s="503">
        <v>628300000</v>
      </c>
      <c r="S20" s="56"/>
      <c r="T20" s="504">
        <f>R20/$R$14*100</f>
        <v>94.147087029489327</v>
      </c>
      <c r="U20" s="505">
        <v>0</v>
      </c>
      <c r="V20" s="506" t="s">
        <v>53</v>
      </c>
      <c r="W20" s="507">
        <f>U20/C20*100</f>
        <v>0</v>
      </c>
      <c r="X20" s="507">
        <f>W20*T20/100</f>
        <v>0</v>
      </c>
      <c r="Y20" s="56">
        <f>SUM(Y21:Y24)</f>
        <v>0</v>
      </c>
      <c r="Z20" s="507">
        <f>Y20/R20*100</f>
        <v>0</v>
      </c>
      <c r="AA20" s="507">
        <f>Z20*T20/100</f>
        <v>0</v>
      </c>
      <c r="AB20" s="508"/>
      <c r="AC20" s="509">
        <f>SUM(F20:Q20)</f>
        <v>0.99999999999999989</v>
      </c>
    </row>
    <row r="21" spans="2:32" s="441" customFormat="1" ht="15" customHeight="1">
      <c r="B21" s="58" t="s">
        <v>66</v>
      </c>
      <c r="C21" s="510"/>
      <c r="D21" s="60"/>
      <c r="E21" s="61"/>
      <c r="F21" s="511">
        <f>F20/$C$20*100</f>
        <v>0</v>
      </c>
      <c r="G21" s="511">
        <f t="shared" ref="G21:Q21" si="2">G20/$C$20*100</f>
        <v>10</v>
      </c>
      <c r="H21" s="511">
        <f t="shared" si="2"/>
        <v>10</v>
      </c>
      <c r="I21" s="511">
        <f t="shared" si="2"/>
        <v>10</v>
      </c>
      <c r="J21" s="511">
        <f t="shared" si="2"/>
        <v>10</v>
      </c>
      <c r="K21" s="511">
        <f t="shared" si="2"/>
        <v>10</v>
      </c>
      <c r="L21" s="511">
        <f t="shared" si="2"/>
        <v>10</v>
      </c>
      <c r="M21" s="511">
        <f t="shared" si="2"/>
        <v>10</v>
      </c>
      <c r="N21" s="511">
        <f t="shared" si="2"/>
        <v>10</v>
      </c>
      <c r="O21" s="511">
        <f t="shared" si="2"/>
        <v>10</v>
      </c>
      <c r="P21" s="511">
        <f t="shared" si="2"/>
        <v>10</v>
      </c>
      <c r="Q21" s="511">
        <f t="shared" si="2"/>
        <v>0</v>
      </c>
      <c r="R21" s="512"/>
      <c r="S21" s="63"/>
      <c r="T21" s="44"/>
      <c r="U21" s="513"/>
      <c r="V21" s="514"/>
      <c r="W21" s="515" t="s">
        <v>60</v>
      </c>
      <c r="X21" s="516"/>
      <c r="Y21" s="66">
        <v>0</v>
      </c>
      <c r="Z21" s="515" t="e">
        <f>Y21/R21*100</f>
        <v>#DIV/0!</v>
      </c>
      <c r="AA21" s="515" t="e">
        <f>Z21*T21/100</f>
        <v>#DIV/0!</v>
      </c>
      <c r="AB21" s="517"/>
      <c r="AC21" s="518">
        <f>SUM(F21:Q21)</f>
        <v>100</v>
      </c>
    </row>
    <row r="22" spans="2:32" s="441" customFormat="1" ht="15" customHeight="1">
      <c r="B22" s="58" t="s">
        <v>67</v>
      </c>
      <c r="C22" s="510"/>
      <c r="D22" s="60"/>
      <c r="E22" s="61"/>
      <c r="F22" s="511">
        <f>SUM($F$21:F21)</f>
        <v>0</v>
      </c>
      <c r="G22" s="511">
        <f>SUM($F$21:G21)</f>
        <v>10</v>
      </c>
      <c r="H22" s="511">
        <f>SUM($F$21:H21)</f>
        <v>20</v>
      </c>
      <c r="I22" s="511">
        <f>SUM($F$21:I21)</f>
        <v>30</v>
      </c>
      <c r="J22" s="511">
        <f>SUM($F$21:J21)</f>
        <v>40</v>
      </c>
      <c r="K22" s="511">
        <f>SUM($F$21:K21)</f>
        <v>50</v>
      </c>
      <c r="L22" s="511">
        <f>SUM($F$21:L21)</f>
        <v>60</v>
      </c>
      <c r="M22" s="511">
        <f>SUM($F$21:M21)</f>
        <v>70</v>
      </c>
      <c r="N22" s="511">
        <f>SUM($F$21:N21)</f>
        <v>80</v>
      </c>
      <c r="O22" s="511">
        <f>SUM($F$21:O21)</f>
        <v>90</v>
      </c>
      <c r="P22" s="511">
        <f>SUM($F$21:P21)</f>
        <v>100</v>
      </c>
      <c r="Q22" s="511">
        <f>SUM($F$21:Q21)</f>
        <v>100</v>
      </c>
      <c r="R22" s="519"/>
      <c r="S22" s="66"/>
      <c r="T22" s="44"/>
      <c r="U22" s="513"/>
      <c r="V22" s="514"/>
      <c r="W22" s="515"/>
      <c r="X22" s="516"/>
      <c r="Y22" s="66">
        <v>0</v>
      </c>
      <c r="Z22" s="515" t="e">
        <f>Y22/R22*100</f>
        <v>#DIV/0!</v>
      </c>
      <c r="AA22" s="515" t="e">
        <f>Z22*T22/100</f>
        <v>#DIV/0!</v>
      </c>
      <c r="AB22" s="517"/>
    </row>
    <row r="23" spans="2:32" s="441" customFormat="1" ht="15" customHeight="1">
      <c r="B23" s="58" t="s">
        <v>68</v>
      </c>
      <c r="C23" s="510"/>
      <c r="D23" s="60"/>
      <c r="E23" s="61"/>
      <c r="F23" s="511">
        <f>F21*$T$20/100</f>
        <v>0</v>
      </c>
      <c r="G23" s="511">
        <f t="shared" ref="G23:Q23" si="3">G21*$T$20/100</f>
        <v>9.4147087029489338</v>
      </c>
      <c r="H23" s="511">
        <f t="shared" si="3"/>
        <v>9.4147087029489338</v>
      </c>
      <c r="I23" s="511">
        <f t="shared" si="3"/>
        <v>9.4147087029489338</v>
      </c>
      <c r="J23" s="511">
        <f t="shared" si="3"/>
        <v>9.4147087029489338</v>
      </c>
      <c r="K23" s="511">
        <f t="shared" si="3"/>
        <v>9.4147087029489338</v>
      </c>
      <c r="L23" s="511">
        <f t="shared" si="3"/>
        <v>9.4147087029489338</v>
      </c>
      <c r="M23" s="511">
        <f t="shared" si="3"/>
        <v>9.4147087029489338</v>
      </c>
      <c r="N23" s="511">
        <f t="shared" si="3"/>
        <v>9.4147087029489338</v>
      </c>
      <c r="O23" s="511">
        <f t="shared" si="3"/>
        <v>9.4147087029489338</v>
      </c>
      <c r="P23" s="511">
        <f t="shared" si="3"/>
        <v>9.4147087029489338</v>
      </c>
      <c r="Q23" s="511">
        <f t="shared" si="3"/>
        <v>0</v>
      </c>
      <c r="R23" s="519"/>
      <c r="S23" s="66"/>
      <c r="T23" s="44"/>
      <c r="U23" s="513"/>
      <c r="V23" s="514"/>
      <c r="W23" s="515"/>
      <c r="X23" s="516"/>
      <c r="Y23" s="66"/>
      <c r="Z23" s="515"/>
      <c r="AA23" s="515"/>
      <c r="AB23" s="517"/>
    </row>
    <row r="24" spans="2:32" s="441" customFormat="1" ht="3.75" customHeight="1">
      <c r="B24" s="67"/>
      <c r="C24" s="510"/>
      <c r="D24" s="60"/>
      <c r="E24" s="61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519"/>
      <c r="S24" s="66"/>
      <c r="T24" s="44"/>
      <c r="U24" s="513"/>
      <c r="V24" s="514"/>
      <c r="W24" s="515"/>
      <c r="X24" s="516"/>
      <c r="Y24" s="66">
        <v>0</v>
      </c>
      <c r="Z24" s="515">
        <v>0</v>
      </c>
      <c r="AA24" s="515">
        <v>0</v>
      </c>
      <c r="AB24" s="523"/>
    </row>
    <row r="25" spans="2:32" s="441" customFormat="1" ht="15" customHeight="1">
      <c r="B25" s="520" t="s">
        <v>169</v>
      </c>
      <c r="C25" s="501">
        <v>1</v>
      </c>
      <c r="D25" s="52" t="s">
        <v>147</v>
      </c>
      <c r="E25" s="53" t="s">
        <v>165</v>
      </c>
      <c r="F25" s="55">
        <v>0</v>
      </c>
      <c r="G25" s="521">
        <v>0.1</v>
      </c>
      <c r="H25" s="521">
        <v>0.1</v>
      </c>
      <c r="I25" s="521">
        <v>0.1</v>
      </c>
      <c r="J25" s="521">
        <v>0.1</v>
      </c>
      <c r="K25" s="521">
        <v>0.1</v>
      </c>
      <c r="L25" s="521">
        <v>0.1</v>
      </c>
      <c r="M25" s="521">
        <v>0.1</v>
      </c>
      <c r="N25" s="521">
        <v>0.1</v>
      </c>
      <c r="O25" s="521">
        <v>0.1</v>
      </c>
      <c r="P25" s="521">
        <v>0.1</v>
      </c>
      <c r="Q25" s="55">
        <v>0</v>
      </c>
      <c r="R25" s="503">
        <v>9860000</v>
      </c>
      <c r="S25" s="56"/>
      <c r="T25" s="504">
        <f>R25/$R$14*100</f>
        <v>1.4774634380244547</v>
      </c>
      <c r="U25" s="505">
        <v>13</v>
      </c>
      <c r="V25" s="506" t="s">
        <v>148</v>
      </c>
      <c r="W25" s="507">
        <f>U25/C25*100</f>
        <v>1300</v>
      </c>
      <c r="X25" s="507">
        <f>W25*T25/100</f>
        <v>19.207024694317912</v>
      </c>
      <c r="Y25" s="56">
        <f>SUM(Y26:Y28)</f>
        <v>0</v>
      </c>
      <c r="Z25" s="507">
        <f>Y25/R25*100</f>
        <v>0</v>
      </c>
      <c r="AA25" s="507">
        <f>Z25*T25/100</f>
        <v>0</v>
      </c>
      <c r="AB25" s="508" t="s">
        <v>170</v>
      </c>
    </row>
    <row r="26" spans="2:32" s="441" customFormat="1" ht="15" customHeight="1">
      <c r="B26" s="58" t="s">
        <v>66</v>
      </c>
      <c r="C26" s="524"/>
      <c r="D26" s="525"/>
      <c r="E26" s="61"/>
      <c r="F26" s="511">
        <f t="shared" ref="F26:Q26" si="4">F25/$C$25*100</f>
        <v>0</v>
      </c>
      <c r="G26" s="511">
        <f t="shared" si="4"/>
        <v>10</v>
      </c>
      <c r="H26" s="511">
        <f t="shared" si="4"/>
        <v>10</v>
      </c>
      <c r="I26" s="511">
        <f t="shared" si="4"/>
        <v>10</v>
      </c>
      <c r="J26" s="511">
        <f t="shared" si="4"/>
        <v>10</v>
      </c>
      <c r="K26" s="511">
        <f t="shared" si="4"/>
        <v>10</v>
      </c>
      <c r="L26" s="511">
        <f t="shared" si="4"/>
        <v>10</v>
      </c>
      <c r="M26" s="511">
        <f t="shared" si="4"/>
        <v>10</v>
      </c>
      <c r="N26" s="511">
        <f t="shared" si="4"/>
        <v>10</v>
      </c>
      <c r="O26" s="511">
        <f t="shared" si="4"/>
        <v>10</v>
      </c>
      <c r="P26" s="511">
        <f t="shared" si="4"/>
        <v>10</v>
      </c>
      <c r="Q26" s="511">
        <f t="shared" si="4"/>
        <v>0</v>
      </c>
      <c r="R26" s="512"/>
      <c r="S26" s="63"/>
      <c r="T26" s="44"/>
      <c r="U26" s="513"/>
      <c r="V26" s="514"/>
      <c r="W26" s="515"/>
      <c r="X26" s="516"/>
      <c r="Y26" s="66">
        <v>0</v>
      </c>
      <c r="Z26" s="515" t="e">
        <f>Y26/R26*100</f>
        <v>#DIV/0!</v>
      </c>
      <c r="AA26" s="515" t="e">
        <f>Z26*T26/100</f>
        <v>#DIV/0!</v>
      </c>
      <c r="AB26" s="517"/>
      <c r="AC26" s="518">
        <f>SUM(G26:Q26)</f>
        <v>100</v>
      </c>
    </row>
    <row r="27" spans="2:32" s="441" customFormat="1" ht="15" customHeight="1">
      <c r="B27" s="58" t="s">
        <v>67</v>
      </c>
      <c r="C27" s="524"/>
      <c r="D27" s="525"/>
      <c r="E27" s="61"/>
      <c r="F27" s="511">
        <f>SUM($F$26:F26)</f>
        <v>0</v>
      </c>
      <c r="G27" s="511">
        <f>SUM($F$26:G26)</f>
        <v>10</v>
      </c>
      <c r="H27" s="511">
        <f>SUM($F$26:H26)</f>
        <v>20</v>
      </c>
      <c r="I27" s="511">
        <f>SUM($F$26:I26)</f>
        <v>30</v>
      </c>
      <c r="J27" s="511">
        <f>SUM($F$26:J26)</f>
        <v>40</v>
      </c>
      <c r="K27" s="511">
        <f>SUM($F$26:K26)</f>
        <v>50</v>
      </c>
      <c r="L27" s="511">
        <f>SUM($F$26:L26)</f>
        <v>60</v>
      </c>
      <c r="M27" s="511">
        <f>SUM($F$26:M26)</f>
        <v>70</v>
      </c>
      <c r="N27" s="511">
        <f>SUM($F$26:N26)</f>
        <v>80</v>
      </c>
      <c r="O27" s="511">
        <f>SUM($F$26:O26)</f>
        <v>90</v>
      </c>
      <c r="P27" s="511">
        <f>SUM($F$26:P26)</f>
        <v>100</v>
      </c>
      <c r="Q27" s="511">
        <f>SUM($F$26:Q26)</f>
        <v>100</v>
      </c>
      <c r="R27" s="66"/>
      <c r="S27" s="66"/>
      <c r="T27" s="44"/>
      <c r="U27" s="513"/>
      <c r="V27" s="514"/>
      <c r="W27" s="515"/>
      <c r="X27" s="516"/>
      <c r="Y27" s="66">
        <v>0</v>
      </c>
      <c r="Z27" s="515" t="e">
        <f>Y27/R27*100</f>
        <v>#DIV/0!</v>
      </c>
      <c r="AA27" s="515" t="e">
        <f>Z27*T27/100</f>
        <v>#DIV/0!</v>
      </c>
      <c r="AB27" s="517"/>
      <c r="AC27" s="518">
        <f t="shared" ref="AC27:AC28" si="5">SUM(G27:Q27)</f>
        <v>650</v>
      </c>
    </row>
    <row r="28" spans="2:32" s="441" customFormat="1" ht="15" customHeight="1">
      <c r="B28" s="58" t="s">
        <v>68</v>
      </c>
      <c r="C28" s="526"/>
      <c r="D28" s="527"/>
      <c r="E28" s="528"/>
      <c r="F28" s="529">
        <f>F26*$T$25/100</f>
        <v>0</v>
      </c>
      <c r="G28" s="530">
        <f t="shared" ref="G28:Q28" si="6">G26*$T$25/100</f>
        <v>0.14774634380244545</v>
      </c>
      <c r="H28" s="530">
        <f t="shared" si="6"/>
        <v>0.14774634380244545</v>
      </c>
      <c r="I28" s="530">
        <f t="shared" si="6"/>
        <v>0.14774634380244545</v>
      </c>
      <c r="J28" s="530">
        <f t="shared" si="6"/>
        <v>0.14774634380244545</v>
      </c>
      <c r="K28" s="530">
        <f t="shared" si="6"/>
        <v>0.14774634380244545</v>
      </c>
      <c r="L28" s="530">
        <f t="shared" si="6"/>
        <v>0.14774634380244545</v>
      </c>
      <c r="M28" s="530">
        <f t="shared" si="6"/>
        <v>0.14774634380244545</v>
      </c>
      <c r="N28" s="530">
        <f t="shared" si="6"/>
        <v>0.14774634380244545</v>
      </c>
      <c r="O28" s="530">
        <f t="shared" si="6"/>
        <v>0.14774634380244545</v>
      </c>
      <c r="P28" s="530">
        <f t="shared" si="6"/>
        <v>0.14774634380244545</v>
      </c>
      <c r="Q28" s="530">
        <f t="shared" si="6"/>
        <v>0</v>
      </c>
      <c r="R28" s="531"/>
      <c r="S28" s="531"/>
      <c r="T28" s="532"/>
      <c r="U28" s="513"/>
      <c r="V28" s="514"/>
      <c r="W28" s="515"/>
      <c r="X28" s="516"/>
      <c r="Y28" s="66"/>
      <c r="Z28" s="515"/>
      <c r="AA28" s="515"/>
      <c r="AB28" s="517"/>
      <c r="AC28" s="518">
        <f t="shared" si="5"/>
        <v>1.4774634380244542</v>
      </c>
    </row>
    <row r="29" spans="2:32" s="441" customFormat="1" ht="17.25" hidden="1" customHeight="1">
      <c r="B29" s="50" t="s">
        <v>171</v>
      </c>
      <c r="C29" s="501">
        <v>0</v>
      </c>
      <c r="D29" s="52" t="s">
        <v>73</v>
      </c>
      <c r="E29" s="53" t="s">
        <v>35</v>
      </c>
      <c r="F29" s="54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  <c r="S29" s="56"/>
      <c r="T29" s="504">
        <f>R29/$R$14*100</f>
        <v>0</v>
      </c>
      <c r="U29" s="505">
        <v>0</v>
      </c>
      <c r="V29" s="506" t="s">
        <v>148</v>
      </c>
      <c r="W29" s="507" t="e">
        <f>U29/C29*100</f>
        <v>#DIV/0!</v>
      </c>
      <c r="X29" s="507" t="e">
        <f>W29*T29/100</f>
        <v>#DIV/0!</v>
      </c>
      <c r="Y29" s="56">
        <f>SUM(Y30:Y31)</f>
        <v>0</v>
      </c>
      <c r="Z29" s="507" t="e">
        <f>Y29/R29*100</f>
        <v>#DIV/0!</v>
      </c>
      <c r="AA29" s="507" t="e">
        <f>Z29*T29/100</f>
        <v>#DIV/0!</v>
      </c>
      <c r="AB29" s="533"/>
      <c r="AE29" s="441" t="s">
        <v>172</v>
      </c>
      <c r="AF29" s="441">
        <v>16220000</v>
      </c>
    </row>
    <row r="30" spans="2:32" s="441" customFormat="1" ht="15" hidden="1" customHeight="1">
      <c r="B30" s="58" t="s">
        <v>36</v>
      </c>
      <c r="C30" s="510"/>
      <c r="D30" s="60"/>
      <c r="E30" s="6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63"/>
      <c r="S30" s="63"/>
      <c r="T30" s="44"/>
      <c r="U30" s="513"/>
      <c r="V30" s="514"/>
      <c r="W30" s="515"/>
      <c r="X30" s="516"/>
      <c r="Y30" s="66">
        <v>0</v>
      </c>
      <c r="Z30" s="515" t="e">
        <f>Y30/R30*100</f>
        <v>#DIV/0!</v>
      </c>
      <c r="AA30" s="515" t="e">
        <f>Z30*T30/100</f>
        <v>#DIV/0!</v>
      </c>
      <c r="AB30" s="534"/>
      <c r="AC30" s="518">
        <f>SUM(H30:Q30)</f>
        <v>0</v>
      </c>
      <c r="AE30" s="441" t="s">
        <v>173</v>
      </c>
      <c r="AF30" s="441">
        <v>135480000</v>
      </c>
    </row>
    <row r="31" spans="2:32" s="441" customFormat="1" ht="15" hidden="1" customHeight="1">
      <c r="B31" s="58" t="s">
        <v>37</v>
      </c>
      <c r="C31" s="510"/>
      <c r="D31" s="60"/>
      <c r="E31" s="6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  <c r="R31" s="66"/>
      <c r="S31" s="66"/>
      <c r="T31" s="44"/>
      <c r="U31" s="513"/>
      <c r="V31" s="514"/>
      <c r="W31" s="515"/>
      <c r="X31" s="516"/>
      <c r="Y31" s="66">
        <v>0</v>
      </c>
      <c r="Z31" s="515" t="e">
        <f>Y31/R31*100</f>
        <v>#DIV/0!</v>
      </c>
      <c r="AA31" s="515" t="e">
        <f>Z31*T31/100</f>
        <v>#DIV/0!</v>
      </c>
      <c r="AB31" s="534"/>
      <c r="AE31" s="441" t="s">
        <v>174</v>
      </c>
      <c r="AF31" s="441">
        <v>66975000</v>
      </c>
    </row>
    <row r="32" spans="2:32" s="441" customFormat="1" ht="15" hidden="1" customHeight="1">
      <c r="B32" s="58" t="s">
        <v>38</v>
      </c>
      <c r="C32" s="510"/>
      <c r="D32" s="60"/>
      <c r="E32" s="6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66"/>
      <c r="S32" s="66"/>
      <c r="T32" s="44"/>
      <c r="U32" s="513"/>
      <c r="V32" s="514"/>
      <c r="W32" s="515"/>
      <c r="X32" s="516"/>
      <c r="Y32" s="66"/>
      <c r="Z32" s="515"/>
      <c r="AA32" s="535"/>
      <c r="AB32" s="534"/>
      <c r="AE32" s="441" t="s">
        <v>175</v>
      </c>
      <c r="AF32" s="441">
        <v>21125000</v>
      </c>
    </row>
    <row r="33" spans="2:32" s="441" customFormat="1" ht="3" hidden="1" customHeight="1">
      <c r="B33" s="536"/>
      <c r="C33" s="537"/>
      <c r="D33" s="538"/>
      <c r="E33" s="528"/>
      <c r="F33" s="539"/>
      <c r="G33" s="540"/>
      <c r="H33" s="540"/>
      <c r="I33" s="540"/>
      <c r="J33" s="540"/>
      <c r="K33" s="540"/>
      <c r="L33" s="540"/>
      <c r="M33" s="540"/>
      <c r="N33" s="540"/>
      <c r="O33" s="540"/>
      <c r="P33" s="540"/>
      <c r="Q33" s="540"/>
      <c r="R33" s="531"/>
      <c r="S33" s="531"/>
      <c r="T33" s="532"/>
      <c r="U33" s="513"/>
      <c r="V33" s="514"/>
      <c r="W33" s="515"/>
      <c r="X33" s="516"/>
      <c r="Y33" s="515"/>
      <c r="Z33" s="515"/>
      <c r="AA33" s="541"/>
      <c r="AB33" s="534"/>
      <c r="AE33" s="441" t="s">
        <v>176</v>
      </c>
      <c r="AF33" s="441">
        <v>24150000</v>
      </c>
    </row>
    <row r="34" spans="2:32" s="441" customFormat="1" ht="15" hidden="1" customHeight="1">
      <c r="B34" s="520" t="s">
        <v>177</v>
      </c>
      <c r="C34" s="501"/>
      <c r="D34" s="52"/>
      <c r="E34" s="53"/>
      <c r="F34" s="54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  <c r="S34" s="56"/>
      <c r="T34" s="504"/>
      <c r="U34" s="505">
        <v>0</v>
      </c>
      <c r="V34" s="506" t="s">
        <v>148</v>
      </c>
      <c r="W34" s="507" t="e">
        <f>U34/C34*100</f>
        <v>#DIV/0!</v>
      </c>
      <c r="X34" s="507" t="e">
        <f>W34*T34/100</f>
        <v>#DIV/0!</v>
      </c>
      <c r="Y34" s="56">
        <f>SUM(Y35:Y38)</f>
        <v>0</v>
      </c>
      <c r="Z34" s="507" t="e">
        <f>Y34/R34*100</f>
        <v>#DIV/0!</v>
      </c>
      <c r="AA34" s="507" t="e">
        <f>Z34*T34/100</f>
        <v>#DIV/0!</v>
      </c>
      <c r="AB34" s="508"/>
    </row>
    <row r="35" spans="2:32" s="441" customFormat="1" ht="15" hidden="1" customHeight="1">
      <c r="B35" s="58" t="s">
        <v>66</v>
      </c>
      <c r="C35" s="510"/>
      <c r="D35" s="60"/>
      <c r="E35" s="6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511"/>
      <c r="Q35" s="511"/>
      <c r="R35" s="63"/>
      <c r="S35" s="63"/>
      <c r="T35" s="44"/>
      <c r="U35" s="513"/>
      <c r="V35" s="514"/>
      <c r="W35" s="515"/>
      <c r="X35" s="516"/>
      <c r="Y35" s="66">
        <v>0</v>
      </c>
      <c r="Z35" s="515" t="e">
        <f>Y35/R35*100</f>
        <v>#DIV/0!</v>
      </c>
      <c r="AA35" s="515" t="e">
        <f>Z35*T35/100</f>
        <v>#DIV/0!</v>
      </c>
      <c r="AB35" s="517"/>
      <c r="AC35" s="518">
        <f>SUM(F35:Q35)</f>
        <v>0</v>
      </c>
    </row>
    <row r="36" spans="2:32" s="441" customFormat="1" ht="15" hidden="1" customHeight="1">
      <c r="B36" s="58" t="s">
        <v>67</v>
      </c>
      <c r="C36" s="510"/>
      <c r="D36" s="60"/>
      <c r="E36" s="6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11"/>
      <c r="R36" s="66"/>
      <c r="S36" s="66"/>
      <c r="T36" s="44"/>
      <c r="U36" s="513"/>
      <c r="V36" s="514"/>
      <c r="W36" s="515"/>
      <c r="X36" s="516"/>
      <c r="Y36" s="66">
        <v>0</v>
      </c>
      <c r="Z36" s="515" t="e">
        <f>Y36/R36*100</f>
        <v>#DIV/0!</v>
      </c>
      <c r="AA36" s="515" t="e">
        <f>Z36*T36/100</f>
        <v>#DIV/0!</v>
      </c>
      <c r="AB36" s="517"/>
    </row>
    <row r="37" spans="2:32" s="441" customFormat="1" ht="15" hidden="1" customHeight="1">
      <c r="B37" s="58" t="s">
        <v>68</v>
      </c>
      <c r="C37" s="510"/>
      <c r="D37" s="60"/>
      <c r="E37" s="6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66"/>
      <c r="S37" s="66"/>
      <c r="T37" s="44"/>
      <c r="U37" s="513"/>
      <c r="V37" s="514"/>
      <c r="W37" s="515"/>
      <c r="X37" s="516"/>
      <c r="Y37" s="66"/>
      <c r="Z37" s="515"/>
      <c r="AA37" s="515"/>
      <c r="AB37" s="517"/>
    </row>
    <row r="38" spans="2:32" s="441" customFormat="1" ht="15" hidden="1" customHeight="1">
      <c r="B38" s="67"/>
      <c r="C38" s="510"/>
      <c r="D38" s="60"/>
      <c r="E38" s="61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6"/>
      <c r="S38" s="66"/>
      <c r="T38" s="44"/>
      <c r="U38" s="513"/>
      <c r="V38" s="514"/>
      <c r="W38" s="515"/>
      <c r="X38" s="516"/>
      <c r="Y38" s="66">
        <v>0</v>
      </c>
      <c r="Z38" s="515">
        <v>0</v>
      </c>
      <c r="AA38" s="515">
        <v>0</v>
      </c>
      <c r="AB38" s="523"/>
    </row>
    <row r="39" spans="2:32" s="441" customFormat="1" ht="15" hidden="1" customHeight="1">
      <c r="B39" s="520" t="s">
        <v>178</v>
      </c>
      <c r="C39" s="542"/>
      <c r="D39" s="543"/>
      <c r="E39" s="53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6"/>
      <c r="S39" s="56"/>
      <c r="T39" s="504"/>
      <c r="U39" s="505">
        <v>13</v>
      </c>
      <c r="V39" s="506" t="s">
        <v>148</v>
      </c>
      <c r="W39" s="507" t="e">
        <f>U39/C39*100</f>
        <v>#DIV/0!</v>
      </c>
      <c r="X39" s="507" t="e">
        <f>W39*T39/100</f>
        <v>#DIV/0!</v>
      </c>
      <c r="Y39" s="56">
        <f>SUM(Y40:Y42)</f>
        <v>0</v>
      </c>
      <c r="Z39" s="507" t="e">
        <f>Y39/R39*100</f>
        <v>#DIV/0!</v>
      </c>
      <c r="AA39" s="507" t="e">
        <f>Z39*T39/100</f>
        <v>#DIV/0!</v>
      </c>
      <c r="AB39" s="508" t="s">
        <v>170</v>
      </c>
    </row>
    <row r="40" spans="2:32" s="441" customFormat="1" ht="15" hidden="1" customHeight="1">
      <c r="B40" s="58" t="s">
        <v>66</v>
      </c>
      <c r="C40" s="524"/>
      <c r="D40" s="525"/>
      <c r="E40" s="6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63"/>
      <c r="S40" s="63"/>
      <c r="T40" s="44"/>
      <c r="U40" s="513"/>
      <c r="V40" s="514"/>
      <c r="W40" s="515"/>
      <c r="X40" s="516"/>
      <c r="Y40" s="66">
        <v>0</v>
      </c>
      <c r="Z40" s="515" t="e">
        <f>Y40/R40*100</f>
        <v>#DIV/0!</v>
      </c>
      <c r="AA40" s="515" t="e">
        <f>Z40*T40/100</f>
        <v>#DIV/0!</v>
      </c>
      <c r="AB40" s="517"/>
      <c r="AC40" s="518">
        <f>SUM(H40:M40)</f>
        <v>0</v>
      </c>
    </row>
    <row r="41" spans="2:32" s="441" customFormat="1" ht="15" hidden="1" customHeight="1">
      <c r="B41" s="58" t="s">
        <v>67</v>
      </c>
      <c r="C41" s="524"/>
      <c r="D41" s="525"/>
      <c r="E41" s="61"/>
      <c r="F41" s="511"/>
      <c r="G41" s="511"/>
      <c r="H41" s="511"/>
      <c r="I41" s="511"/>
      <c r="J41" s="511"/>
      <c r="K41" s="511"/>
      <c r="L41" s="511"/>
      <c r="M41" s="256"/>
      <c r="N41" s="256"/>
      <c r="O41" s="256"/>
      <c r="P41" s="256"/>
      <c r="Q41" s="256"/>
      <c r="R41" s="66"/>
      <c r="S41" s="66"/>
      <c r="T41" s="44"/>
      <c r="U41" s="513"/>
      <c r="V41" s="514"/>
      <c r="W41" s="515"/>
      <c r="X41" s="516"/>
      <c r="Y41" s="66">
        <v>0</v>
      </c>
      <c r="Z41" s="515" t="e">
        <f>Y41/R41*100</f>
        <v>#DIV/0!</v>
      </c>
      <c r="AA41" s="515" t="e">
        <f>Z41*T41/100</f>
        <v>#DIV/0!</v>
      </c>
      <c r="AB41" s="517"/>
      <c r="AC41" s="518">
        <f t="shared" ref="AC41:AC42" si="7">SUM(H41:M41)</f>
        <v>0</v>
      </c>
    </row>
    <row r="42" spans="2:32" s="441" customFormat="1" ht="15" hidden="1" customHeight="1">
      <c r="B42" s="58" t="s">
        <v>68</v>
      </c>
      <c r="C42" s="524"/>
      <c r="D42" s="525"/>
      <c r="E42" s="6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66"/>
      <c r="S42" s="66"/>
      <c r="T42" s="44"/>
      <c r="U42" s="513"/>
      <c r="V42" s="514"/>
      <c r="W42" s="515"/>
      <c r="X42" s="516"/>
      <c r="Y42" s="66"/>
      <c r="Z42" s="515"/>
      <c r="AA42" s="515"/>
      <c r="AB42" s="517"/>
      <c r="AC42" s="518">
        <f t="shared" si="7"/>
        <v>0</v>
      </c>
    </row>
    <row r="43" spans="2:32" s="441" customFormat="1" ht="14.25" hidden="1" customHeight="1">
      <c r="B43" s="67"/>
      <c r="C43" s="524"/>
      <c r="D43" s="525"/>
      <c r="E43" s="61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6"/>
      <c r="S43" s="66"/>
      <c r="T43" s="44"/>
      <c r="U43" s="513"/>
      <c r="V43" s="514"/>
      <c r="W43" s="515"/>
      <c r="X43" s="516"/>
      <c r="Y43" s="66"/>
      <c r="Z43" s="515"/>
      <c r="AA43" s="515"/>
      <c r="AB43" s="544"/>
    </row>
    <row r="44" spans="2:32" s="441" customFormat="1" ht="15" hidden="1" customHeight="1">
      <c r="B44" s="520"/>
      <c r="C44" s="526"/>
      <c r="D44" s="527"/>
      <c r="E44" s="528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530"/>
      <c r="R44" s="531">
        <v>0</v>
      </c>
      <c r="S44" s="531"/>
      <c r="T44" s="545">
        <f>R44/$R$14*100</f>
        <v>0</v>
      </c>
      <c r="U44" s="546"/>
      <c r="V44" s="547"/>
      <c r="W44" s="548"/>
      <c r="X44" s="549"/>
      <c r="Y44" s="531">
        <v>0</v>
      </c>
      <c r="Z44" s="548">
        <v>0</v>
      </c>
      <c r="AA44" s="548">
        <v>0</v>
      </c>
      <c r="AB44" s="550"/>
    </row>
    <row r="45" spans="2:32" s="457" customFormat="1" ht="18" customHeight="1" thickBot="1">
      <c r="B45" s="70" t="s">
        <v>41</v>
      </c>
      <c r="C45" s="71"/>
      <c r="D45" s="72"/>
      <c r="E45" s="551"/>
      <c r="F45" s="552">
        <f>F18+F23+F28+F32</f>
        <v>0</v>
      </c>
      <c r="G45" s="552">
        <f>G18+G23+G28+G32</f>
        <v>11.020938224246784</v>
      </c>
      <c r="H45" s="552">
        <f t="shared" ref="H45:Q45" si="8">H18+H23+H28+H32</f>
        <v>9.5624550467513796</v>
      </c>
      <c r="I45" s="552">
        <f t="shared" si="8"/>
        <v>9.5624550467513796</v>
      </c>
      <c r="J45" s="552">
        <f t="shared" si="8"/>
        <v>9.5624550467513796</v>
      </c>
      <c r="K45" s="552">
        <f t="shared" si="8"/>
        <v>11.166786541996325</v>
      </c>
      <c r="L45" s="552">
        <f t="shared" si="8"/>
        <v>9.5624550467513796</v>
      </c>
      <c r="M45" s="552">
        <f t="shared" si="8"/>
        <v>9.5624550467513796</v>
      </c>
      <c r="N45" s="552">
        <f t="shared" si="8"/>
        <v>10.291696635499083</v>
      </c>
      <c r="O45" s="552">
        <f t="shared" si="8"/>
        <v>9.5624550467513796</v>
      </c>
      <c r="P45" s="552">
        <f t="shared" si="8"/>
        <v>10.145848317749541</v>
      </c>
      <c r="Q45" s="552">
        <f t="shared" si="8"/>
        <v>0</v>
      </c>
      <c r="R45" s="553"/>
      <c r="S45" s="553"/>
      <c r="T45" s="554"/>
      <c r="U45" s="555"/>
      <c r="V45" s="556"/>
      <c r="W45" s="557"/>
      <c r="X45" s="557" t="e">
        <f>SUM(X29:X43)</f>
        <v>#DIV/0!</v>
      </c>
      <c r="Y45" s="558" t="e">
        <f>Y14</f>
        <v>#REF!</v>
      </c>
      <c r="Z45" s="558">
        <f>Z14</f>
        <v>0</v>
      </c>
      <c r="AA45" s="559" t="e">
        <f>AA29+#REF!+AA15+#REF!+AA34+AA25+#REF!</f>
        <v>#DIV/0!</v>
      </c>
      <c r="AB45" s="560"/>
      <c r="AC45" s="561">
        <f>SUM(F45:Q45)</f>
        <v>100.00000000000001</v>
      </c>
    </row>
    <row r="46" spans="2:32" s="457" customFormat="1" ht="18" customHeight="1" thickTop="1" thickBot="1">
      <c r="B46" s="78" t="s">
        <v>42</v>
      </c>
      <c r="C46" s="79"/>
      <c r="D46" s="79"/>
      <c r="E46" s="80"/>
      <c r="F46" s="81">
        <f>SUM(F45)</f>
        <v>0</v>
      </c>
      <c r="G46" s="81">
        <f>SUM(F45:G45)</f>
        <v>11.020938224246784</v>
      </c>
      <c r="H46" s="81">
        <f>SUM(F45:H45)</f>
        <v>20.583393270998165</v>
      </c>
      <c r="I46" s="81">
        <f>SUM(F45:I45)</f>
        <v>30.145848317749547</v>
      </c>
      <c r="J46" s="81">
        <f>SUM(F45:J45)</f>
        <v>39.708303364500928</v>
      </c>
      <c r="K46" s="81">
        <f>SUM(F45:K45)</f>
        <v>50.875089906497251</v>
      </c>
      <c r="L46" s="81">
        <f>SUM(F45:L45)</f>
        <v>60.437544953248633</v>
      </c>
      <c r="M46" s="81">
        <f>SUM(F45:M45)</f>
        <v>70.000000000000014</v>
      </c>
      <c r="N46" s="81">
        <f>SUM(F45:N45)</f>
        <v>80.291696635499093</v>
      </c>
      <c r="O46" s="81">
        <f>SUM(F45:O45)</f>
        <v>89.854151682250475</v>
      </c>
      <c r="P46" s="81">
        <f>SUM(F45:P45)</f>
        <v>100.00000000000001</v>
      </c>
      <c r="Q46" s="81">
        <f>SUM(F45:Q45)</f>
        <v>100.00000000000001</v>
      </c>
      <c r="R46" s="80"/>
      <c r="S46" s="80"/>
      <c r="T46" s="82"/>
      <c r="U46" s="562"/>
      <c r="V46" s="563"/>
      <c r="W46" s="563"/>
      <c r="X46" s="563"/>
      <c r="Y46" s="563"/>
      <c r="Z46" s="563"/>
      <c r="AA46" s="563"/>
      <c r="AB46" s="563"/>
      <c r="AD46" s="457">
        <f>1/6*100</f>
        <v>16.666666666666664</v>
      </c>
    </row>
    <row r="47" spans="2:32" ht="9" customHeight="1">
      <c r="B47" s="83"/>
      <c r="C47" s="84"/>
      <c r="D47" s="84"/>
      <c r="E47" s="84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6"/>
      <c r="R47" s="84"/>
      <c r="S47" s="84"/>
      <c r="T47" s="87"/>
      <c r="U47" s="312"/>
      <c r="V47" s="84"/>
      <c r="W47" s="84"/>
      <c r="X47" s="84"/>
      <c r="Y47" s="84"/>
      <c r="Z47" s="429"/>
      <c r="AA47" s="429"/>
      <c r="AB47" s="429"/>
    </row>
    <row r="48" spans="2:32" s="441" customFormat="1" ht="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9" t="s">
        <v>43</v>
      </c>
      <c r="U48" s="90"/>
      <c r="V48" s="88"/>
      <c r="W48" s="564"/>
      <c r="X48" s="88"/>
      <c r="Y48" s="564"/>
      <c r="Z48" s="88"/>
      <c r="AA48" s="90" t="s">
        <v>156</v>
      </c>
      <c r="AC48" s="565"/>
    </row>
    <row r="49" spans="2:31" s="441" customFormat="1" ht="15">
      <c r="C49" s="90" t="s">
        <v>44</v>
      </c>
      <c r="D49" s="90"/>
      <c r="E49" s="90"/>
      <c r="F49" s="566"/>
      <c r="G49" s="566"/>
      <c r="H49" s="566"/>
      <c r="I49" s="566"/>
      <c r="J49" s="566"/>
      <c r="K49" s="566"/>
      <c r="L49" s="566"/>
      <c r="M49" s="566"/>
      <c r="N49" s="566"/>
      <c r="O49" s="566"/>
      <c r="P49" s="566"/>
      <c r="Q49" s="566"/>
      <c r="R49" s="88"/>
      <c r="T49" s="567"/>
      <c r="U49" s="90"/>
      <c r="V49" s="90"/>
      <c r="W49" s="90"/>
      <c r="X49" s="90"/>
      <c r="Y49" s="92"/>
      <c r="Z49" s="90"/>
      <c r="AA49" s="88"/>
      <c r="AB49" s="90"/>
    </row>
    <row r="50" spans="2:31" s="441" customFormat="1" ht="15">
      <c r="C50" s="90" t="s">
        <v>179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U50" s="90"/>
      <c r="V50" s="90"/>
      <c r="W50" s="90"/>
      <c r="X50" s="90"/>
      <c r="Y50" s="92"/>
      <c r="AA50" s="90" t="s">
        <v>157</v>
      </c>
    </row>
    <row r="51" spans="2:31" s="441" customFormat="1" ht="12" customHeight="1">
      <c r="C51" s="90" t="s">
        <v>45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 t="s">
        <v>46</v>
      </c>
      <c r="T51" s="90"/>
      <c r="U51" s="90"/>
      <c r="V51" s="90"/>
      <c r="W51" s="90"/>
      <c r="X51" s="90"/>
      <c r="Y51" s="568"/>
      <c r="Z51" s="90"/>
      <c r="AA51" s="88"/>
      <c r="AB51" s="90"/>
    </row>
    <row r="52" spans="2:31" s="441" customFormat="1" ht="12" customHeight="1"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88"/>
      <c r="T52" s="90"/>
      <c r="U52" s="90"/>
      <c r="V52" s="90"/>
      <c r="W52" s="90"/>
      <c r="X52" s="90"/>
      <c r="Y52" s="569"/>
      <c r="Z52" s="90"/>
      <c r="AA52" s="88"/>
      <c r="AB52" s="90"/>
    </row>
    <row r="53" spans="2:31" s="441" customFormat="1" ht="14.25" customHeight="1"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88"/>
      <c r="T53" s="90"/>
      <c r="U53" s="90"/>
      <c r="V53" s="90"/>
      <c r="W53" s="90"/>
      <c r="X53" s="90"/>
      <c r="Y53" s="92"/>
      <c r="Z53" s="90"/>
      <c r="AA53" s="88"/>
      <c r="AB53" s="90"/>
    </row>
    <row r="54" spans="2:31" s="441" customFormat="1" ht="15">
      <c r="C54" s="94" t="s">
        <v>101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 t="s">
        <v>180</v>
      </c>
      <c r="U54" s="94"/>
      <c r="V54" s="94"/>
      <c r="W54" s="94"/>
      <c r="X54" s="94"/>
      <c r="Y54" s="570"/>
      <c r="Z54" s="94"/>
      <c r="AA54" s="94" t="s">
        <v>160</v>
      </c>
    </row>
    <row r="55" spans="2:31" s="441" customFormat="1" ht="15">
      <c r="C55" s="90" t="s">
        <v>49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 t="s">
        <v>181</v>
      </c>
      <c r="U55" s="90"/>
      <c r="V55" s="90"/>
      <c r="W55" s="90"/>
      <c r="X55" s="90"/>
      <c r="Y55" s="92"/>
      <c r="Z55" s="90"/>
      <c r="AA55" s="90" t="s">
        <v>162</v>
      </c>
    </row>
    <row r="56" spans="2:3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95"/>
      <c r="S56" s="95"/>
      <c r="T56" s="8"/>
      <c r="U56" s="274"/>
      <c r="V56" s="8"/>
      <c r="W56" s="8"/>
      <c r="X56" s="8"/>
      <c r="Y56" s="95"/>
      <c r="Z56" s="8"/>
      <c r="AA56" s="8"/>
      <c r="AB56" s="8"/>
    </row>
    <row r="57" spans="2:31">
      <c r="B57" s="571"/>
    </row>
    <row r="58" spans="2:31">
      <c r="B58" s="571"/>
      <c r="N58" s="573"/>
    </row>
    <row r="59" spans="2:31">
      <c r="B59" s="571"/>
    </row>
    <row r="60" spans="2:31">
      <c r="B60" s="571"/>
    </row>
    <row r="63" spans="2:31">
      <c r="AE63" s="444">
        <f>105*1800000</f>
        <v>189000000</v>
      </c>
    </row>
    <row r="65" spans="31:31" s="444" customFormat="1">
      <c r="AE65" s="444">
        <f>105*1750000</f>
        <v>183750000</v>
      </c>
    </row>
    <row r="68" spans="31:31" s="444" customFormat="1">
      <c r="AE68" s="444">
        <f>SUM(AE63-AE65)</f>
        <v>5250000</v>
      </c>
    </row>
    <row r="72" spans="31:31" s="444" customFormat="1">
      <c r="AE72" s="444">
        <f>SUM(AE68/1750000)</f>
        <v>3</v>
      </c>
    </row>
  </sheetData>
  <mergeCells count="26">
    <mergeCell ref="AB39:AB42"/>
    <mergeCell ref="C45:D45"/>
    <mergeCell ref="C12:D12"/>
    <mergeCell ref="U12:V12"/>
    <mergeCell ref="AB15:AB19"/>
    <mergeCell ref="AB20:AB24"/>
    <mergeCell ref="AB25:AB28"/>
    <mergeCell ref="AB34:AB38"/>
    <mergeCell ref="Y8:AA8"/>
    <mergeCell ref="F9:H9"/>
    <mergeCell ref="I9:K9"/>
    <mergeCell ref="L9:N9"/>
    <mergeCell ref="O9:Q9"/>
    <mergeCell ref="T9:T10"/>
    <mergeCell ref="U9:V9"/>
    <mergeCell ref="U10:V10"/>
    <mergeCell ref="B1:AB1"/>
    <mergeCell ref="B2:AB2"/>
    <mergeCell ref="D6:F6"/>
    <mergeCell ref="B8:B11"/>
    <mergeCell ref="C8:D11"/>
    <mergeCell ref="E8:E11"/>
    <mergeCell ref="F8:Q8"/>
    <mergeCell ref="R8:R10"/>
    <mergeCell ref="S8:S10"/>
    <mergeCell ref="U8:X8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46"/>
  <sheetViews>
    <sheetView workbookViewId="0">
      <selection activeCell="G21" sqref="G21"/>
    </sheetView>
  </sheetViews>
  <sheetFormatPr defaultRowHeight="12.75"/>
  <cols>
    <col min="1" max="1" width="0.5703125" style="250" customWidth="1"/>
    <col min="2" max="2" width="34.28515625" style="250" customWidth="1"/>
    <col min="3" max="3" width="5.7109375" style="250" customWidth="1"/>
    <col min="4" max="4" width="4.42578125" style="250" customWidth="1"/>
    <col min="5" max="5" width="7.85546875" style="250" customWidth="1"/>
    <col min="6" max="6" width="5.42578125" style="250" customWidth="1"/>
    <col min="7" max="7" width="6.42578125" style="250" customWidth="1"/>
    <col min="8" max="8" width="7.5703125" style="250" customWidth="1"/>
    <col min="9" max="17" width="6.42578125" style="250" customWidth="1"/>
    <col min="18" max="18" width="10.5703125" style="250" customWidth="1"/>
    <col min="19" max="19" width="8.28515625" style="250" customWidth="1"/>
    <col min="20" max="20" width="7.42578125" style="250" customWidth="1"/>
    <col min="21" max="16384" width="9.140625" style="250"/>
  </cols>
  <sheetData>
    <row r="1" spans="2:20" s="248" customFormat="1" ht="15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s="248" customFormat="1" ht="15.7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s="249" customFormat="1" ht="9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s="249" customFormat="1">
      <c r="B4" s="3" t="s">
        <v>2</v>
      </c>
      <c r="C4" s="5" t="s">
        <v>3</v>
      </c>
      <c r="D4" s="3" t="s">
        <v>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T4" s="3"/>
    </row>
    <row r="5" spans="2:20" s="249" customFormat="1">
      <c r="B5" s="3" t="s">
        <v>5</v>
      </c>
      <c r="C5" s="5" t="s">
        <v>3</v>
      </c>
      <c r="D5" s="3" t="s">
        <v>182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T5" s="3"/>
    </row>
    <row r="6" spans="2:20" s="249" customFormat="1">
      <c r="B6" s="3" t="s">
        <v>7</v>
      </c>
      <c r="C6" s="6" t="s">
        <v>3</v>
      </c>
      <c r="D6" s="7">
        <f>SUM(R14)</f>
        <v>22330000</v>
      </c>
      <c r="E6" s="7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0" ht="12.75" customHeight="1" thickBo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2:20" s="249" customFormat="1" ht="18.75" customHeight="1">
      <c r="B8" s="10" t="s">
        <v>8</v>
      </c>
      <c r="C8" s="11" t="s">
        <v>9</v>
      </c>
      <c r="D8" s="12"/>
      <c r="E8" s="13" t="s">
        <v>10</v>
      </c>
      <c r="F8" s="14" t="s">
        <v>11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3" t="s">
        <v>7</v>
      </c>
      <c r="S8" s="13" t="s">
        <v>12</v>
      </c>
      <c r="T8" s="17" t="s">
        <v>13</v>
      </c>
    </row>
    <row r="9" spans="2:20" s="249" customFormat="1">
      <c r="B9" s="18"/>
      <c r="C9" s="19"/>
      <c r="D9" s="20"/>
      <c r="E9" s="21"/>
      <c r="F9" s="22" t="s">
        <v>14</v>
      </c>
      <c r="G9" s="23"/>
      <c r="H9" s="24"/>
      <c r="I9" s="22" t="s">
        <v>15</v>
      </c>
      <c r="J9" s="23"/>
      <c r="K9" s="24"/>
      <c r="L9" s="22" t="s">
        <v>16</v>
      </c>
      <c r="M9" s="23"/>
      <c r="N9" s="24"/>
      <c r="O9" s="22" t="s">
        <v>17</v>
      </c>
      <c r="P9" s="23"/>
      <c r="Q9" s="24"/>
      <c r="R9" s="21"/>
      <c r="S9" s="21"/>
      <c r="T9" s="25" t="s">
        <v>18</v>
      </c>
    </row>
    <row r="10" spans="2:20" s="249" customFormat="1">
      <c r="B10" s="18"/>
      <c r="C10" s="19"/>
      <c r="D10" s="20"/>
      <c r="E10" s="21"/>
      <c r="F10" s="26" t="s">
        <v>19</v>
      </c>
      <c r="G10" s="26" t="s">
        <v>20</v>
      </c>
      <c r="H10" s="26" t="s">
        <v>21</v>
      </c>
      <c r="I10" s="26" t="s">
        <v>22</v>
      </c>
      <c r="J10" s="26" t="s">
        <v>23</v>
      </c>
      <c r="K10" s="26" t="s">
        <v>24</v>
      </c>
      <c r="L10" s="26" t="s">
        <v>25</v>
      </c>
      <c r="M10" s="26" t="s">
        <v>26</v>
      </c>
      <c r="N10" s="26" t="s">
        <v>27</v>
      </c>
      <c r="O10" s="26" t="s">
        <v>28</v>
      </c>
      <c r="P10" s="26" t="s">
        <v>29</v>
      </c>
      <c r="Q10" s="26" t="s">
        <v>30</v>
      </c>
      <c r="R10" s="21"/>
      <c r="S10" s="21"/>
      <c r="T10" s="25"/>
    </row>
    <row r="11" spans="2:20" s="249" customFormat="1" ht="9" customHeight="1">
      <c r="B11" s="27"/>
      <c r="C11" s="28"/>
      <c r="D11" s="29"/>
      <c r="E11" s="30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31" t="s">
        <v>31</v>
      </c>
      <c r="S11" s="31" t="s">
        <v>31</v>
      </c>
      <c r="T11" s="32" t="s">
        <v>32</v>
      </c>
    </row>
    <row r="12" spans="2:20" s="251" customFormat="1" ht="12" customHeight="1">
      <c r="B12" s="33">
        <v>1</v>
      </c>
      <c r="C12" s="34">
        <v>2</v>
      </c>
      <c r="D12" s="35"/>
      <c r="E12" s="36">
        <v>3</v>
      </c>
      <c r="F12" s="36">
        <v>4</v>
      </c>
      <c r="G12" s="36">
        <v>5</v>
      </c>
      <c r="H12" s="36">
        <v>6</v>
      </c>
      <c r="I12" s="36">
        <v>7</v>
      </c>
      <c r="J12" s="36">
        <v>8</v>
      </c>
      <c r="K12" s="36">
        <v>9</v>
      </c>
      <c r="L12" s="36">
        <v>10</v>
      </c>
      <c r="M12" s="36">
        <v>11</v>
      </c>
      <c r="N12" s="36">
        <v>12</v>
      </c>
      <c r="O12" s="36">
        <v>13</v>
      </c>
      <c r="P12" s="36">
        <v>14</v>
      </c>
      <c r="Q12" s="36">
        <v>15</v>
      </c>
      <c r="R12" s="37">
        <v>16</v>
      </c>
      <c r="S12" s="37">
        <v>17</v>
      </c>
      <c r="T12" s="38">
        <v>18</v>
      </c>
    </row>
    <row r="13" spans="2:20" s="249" customFormat="1" ht="11.25" customHeight="1">
      <c r="B13" s="40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  <c r="S13" s="43"/>
      <c r="T13" s="44"/>
    </row>
    <row r="14" spans="2:20" s="249" customFormat="1">
      <c r="B14" s="496" t="str">
        <f>D5</f>
        <v>PENGELOLAAN DATA DAN INFORMASI KEPEGAWAIAN</v>
      </c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8">
        <f>SUM(R15+R20+R25+R30)</f>
        <v>22330000</v>
      </c>
      <c r="S14" s="48"/>
      <c r="T14" s="49">
        <f>SUM(T15+T20+T25+T30)</f>
        <v>100</v>
      </c>
    </row>
    <row r="15" spans="2:20" s="249" customFormat="1" ht="17.25" customHeight="1">
      <c r="B15" s="50" t="s">
        <v>183</v>
      </c>
      <c r="C15" s="51">
        <f>SUM(F15:Q15)</f>
        <v>12</v>
      </c>
      <c r="D15" s="52" t="s">
        <v>76</v>
      </c>
      <c r="E15" s="53" t="s">
        <v>35</v>
      </c>
      <c r="F15" s="54">
        <v>1</v>
      </c>
      <c r="G15" s="55">
        <v>1</v>
      </c>
      <c r="H15" s="55">
        <v>1</v>
      </c>
      <c r="I15" s="55">
        <v>1</v>
      </c>
      <c r="J15" s="55">
        <v>1</v>
      </c>
      <c r="K15" s="55">
        <v>1</v>
      </c>
      <c r="L15" s="55">
        <v>1</v>
      </c>
      <c r="M15" s="55">
        <v>1</v>
      </c>
      <c r="N15" s="55">
        <v>1</v>
      </c>
      <c r="O15" s="55">
        <v>1</v>
      </c>
      <c r="P15" s="55">
        <v>1</v>
      </c>
      <c r="Q15" s="55">
        <v>1</v>
      </c>
      <c r="R15" s="56">
        <f>[5]rka!AN19</f>
        <v>1160000</v>
      </c>
      <c r="S15" s="56"/>
      <c r="T15" s="57">
        <f>R15/$R$14*100</f>
        <v>5.1948051948051948</v>
      </c>
    </row>
    <row r="16" spans="2:20" s="249" customFormat="1" ht="15" customHeight="1">
      <c r="B16" s="58" t="s">
        <v>36</v>
      </c>
      <c r="C16" s="65"/>
      <c r="D16" s="60"/>
      <c r="E16" s="61"/>
      <c r="F16" s="62">
        <f>F15/$C$15*100</f>
        <v>8.3333333333333321</v>
      </c>
      <c r="G16" s="62">
        <f t="shared" ref="G16:Q16" si="0">G15/$C$15*100</f>
        <v>8.3333333333333321</v>
      </c>
      <c r="H16" s="62">
        <f>H15/$C$15*100</f>
        <v>8.3333333333333321</v>
      </c>
      <c r="I16" s="62">
        <f t="shared" si="0"/>
        <v>8.3333333333333321</v>
      </c>
      <c r="J16" s="62">
        <f t="shared" si="0"/>
        <v>8.3333333333333321</v>
      </c>
      <c r="K16" s="62">
        <f t="shared" si="0"/>
        <v>8.3333333333333321</v>
      </c>
      <c r="L16" s="62">
        <f t="shared" si="0"/>
        <v>8.3333333333333321</v>
      </c>
      <c r="M16" s="62">
        <f t="shared" si="0"/>
        <v>8.3333333333333321</v>
      </c>
      <c r="N16" s="62">
        <f t="shared" si="0"/>
        <v>8.3333333333333321</v>
      </c>
      <c r="O16" s="62">
        <f t="shared" si="0"/>
        <v>8.3333333333333321</v>
      </c>
      <c r="P16" s="62">
        <f t="shared" si="0"/>
        <v>8.3333333333333321</v>
      </c>
      <c r="Q16" s="62">
        <f t="shared" si="0"/>
        <v>8.3333333333333321</v>
      </c>
      <c r="R16" s="63"/>
      <c r="S16" s="63"/>
      <c r="T16" s="64"/>
    </row>
    <row r="17" spans="2:20" s="249" customFormat="1" ht="15" customHeight="1">
      <c r="B17" s="58" t="s">
        <v>37</v>
      </c>
      <c r="C17" s="65"/>
      <c r="D17" s="60"/>
      <c r="E17" s="61"/>
      <c r="F17" s="62">
        <f>SUM($F$16:F16)</f>
        <v>8.3333333333333321</v>
      </c>
      <c r="G17" s="62">
        <f>SUM($F$16:G16)</f>
        <v>16.666666666666664</v>
      </c>
      <c r="H17" s="62">
        <f>SUM($F$16:H16)</f>
        <v>24.999999999999996</v>
      </c>
      <c r="I17" s="62">
        <f>SUM($F$16:I16)</f>
        <v>33.333333333333329</v>
      </c>
      <c r="J17" s="62">
        <f>SUM($F$16:J16)</f>
        <v>41.666666666666657</v>
      </c>
      <c r="K17" s="62">
        <f>SUM($F$16:K16)</f>
        <v>49.999999999999986</v>
      </c>
      <c r="L17" s="62">
        <f>SUM($F$16:L16)</f>
        <v>58.333333333333314</v>
      </c>
      <c r="M17" s="62">
        <f>SUM($F$16:M16)</f>
        <v>66.666666666666643</v>
      </c>
      <c r="N17" s="62">
        <f>SUM($F$16:N16)</f>
        <v>74.999999999999972</v>
      </c>
      <c r="O17" s="62">
        <f>SUM($F$16:O16)</f>
        <v>83.3333333333333</v>
      </c>
      <c r="P17" s="62">
        <f>SUM($F$16:P16)</f>
        <v>91.666666666666629</v>
      </c>
      <c r="Q17" s="62">
        <f>SUM($F$16:Q16)</f>
        <v>99.999999999999957</v>
      </c>
      <c r="R17" s="66"/>
      <c r="S17" s="66"/>
      <c r="T17" s="64"/>
    </row>
    <row r="18" spans="2:20" s="249" customFormat="1" ht="15" customHeight="1">
      <c r="B18" s="58" t="s">
        <v>38</v>
      </c>
      <c r="C18" s="65"/>
      <c r="D18" s="60"/>
      <c r="E18" s="61"/>
      <c r="F18" s="62">
        <f>F16*$T$15/100</f>
        <v>0.43290043290043284</v>
      </c>
      <c r="G18" s="62">
        <f>G16*$T$15/100</f>
        <v>0.43290043290043284</v>
      </c>
      <c r="H18" s="62">
        <f t="shared" ref="H18:P18" si="1">H16*$T$15/100</f>
        <v>0.43290043290043284</v>
      </c>
      <c r="I18" s="62">
        <f t="shared" si="1"/>
        <v>0.43290043290043284</v>
      </c>
      <c r="J18" s="62">
        <f t="shared" si="1"/>
        <v>0.43290043290043284</v>
      </c>
      <c r="K18" s="62">
        <f t="shared" si="1"/>
        <v>0.43290043290043284</v>
      </c>
      <c r="L18" s="62">
        <f t="shared" si="1"/>
        <v>0.43290043290043284</v>
      </c>
      <c r="M18" s="62">
        <f t="shared" si="1"/>
        <v>0.43290043290043284</v>
      </c>
      <c r="N18" s="62">
        <f t="shared" si="1"/>
        <v>0.43290043290043284</v>
      </c>
      <c r="O18" s="62">
        <f t="shared" si="1"/>
        <v>0.43290043290043284</v>
      </c>
      <c r="P18" s="62">
        <f t="shared" si="1"/>
        <v>0.43290043290043284</v>
      </c>
      <c r="Q18" s="62">
        <f>Q16*$T$15/100</f>
        <v>0.43290043290043284</v>
      </c>
      <c r="R18" s="66"/>
      <c r="S18" s="66"/>
      <c r="T18" s="64"/>
    </row>
    <row r="19" spans="2:20" s="249" customFormat="1" ht="12" customHeight="1">
      <c r="B19" s="67"/>
      <c r="C19" s="65"/>
      <c r="D19" s="60"/>
      <c r="E19" s="61"/>
      <c r="F19" s="68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6"/>
      <c r="S19" s="66"/>
      <c r="T19" s="64"/>
    </row>
    <row r="20" spans="2:20" s="249" customFormat="1" ht="15" customHeight="1">
      <c r="B20" s="50" t="s">
        <v>184</v>
      </c>
      <c r="C20" s="51">
        <f>SUM(F20:Q20)</f>
        <v>15000</v>
      </c>
      <c r="D20" s="52" t="s">
        <v>185</v>
      </c>
      <c r="E20" s="53" t="s">
        <v>35</v>
      </c>
      <c r="F20" s="54">
        <v>1000</v>
      </c>
      <c r="G20" s="55">
        <v>2500</v>
      </c>
      <c r="H20" s="55">
        <v>1000</v>
      </c>
      <c r="I20" s="55">
        <v>1000</v>
      </c>
      <c r="J20" s="55">
        <v>1000</v>
      </c>
      <c r="K20" s="55">
        <v>1000</v>
      </c>
      <c r="L20" s="55">
        <v>1000</v>
      </c>
      <c r="M20" s="55">
        <v>1000</v>
      </c>
      <c r="N20" s="55">
        <v>1000</v>
      </c>
      <c r="O20" s="55">
        <v>1000</v>
      </c>
      <c r="P20" s="55">
        <v>2500</v>
      </c>
      <c r="Q20" s="55">
        <v>1000</v>
      </c>
      <c r="R20" s="56">
        <f>[5]rka!AN20</f>
        <v>2760000</v>
      </c>
      <c r="S20" s="56"/>
      <c r="T20" s="57">
        <f>R20/$R$14*100</f>
        <v>12.360053739364083</v>
      </c>
    </row>
    <row r="21" spans="2:20" s="249" customFormat="1" ht="15" customHeight="1">
      <c r="B21" s="58" t="s">
        <v>36</v>
      </c>
      <c r="C21" s="65"/>
      <c r="D21" s="60"/>
      <c r="E21" s="61"/>
      <c r="F21" s="62">
        <f>F20/$C$20*100</f>
        <v>6.666666666666667</v>
      </c>
      <c r="G21" s="62">
        <f t="shared" ref="G21:Q21" si="2">G20/$C$20*100</f>
        <v>16.666666666666664</v>
      </c>
      <c r="H21" s="62">
        <f t="shared" si="2"/>
        <v>6.666666666666667</v>
      </c>
      <c r="I21" s="62">
        <f>I20/$C$20*100</f>
        <v>6.666666666666667</v>
      </c>
      <c r="J21" s="62">
        <f t="shared" si="2"/>
        <v>6.666666666666667</v>
      </c>
      <c r="K21" s="62">
        <f t="shared" si="2"/>
        <v>6.666666666666667</v>
      </c>
      <c r="L21" s="62">
        <f t="shared" si="2"/>
        <v>6.666666666666667</v>
      </c>
      <c r="M21" s="62">
        <f t="shared" si="2"/>
        <v>6.666666666666667</v>
      </c>
      <c r="N21" s="62">
        <f t="shared" si="2"/>
        <v>6.666666666666667</v>
      </c>
      <c r="O21" s="62">
        <f t="shared" si="2"/>
        <v>6.666666666666667</v>
      </c>
      <c r="P21" s="62">
        <f t="shared" si="2"/>
        <v>16.666666666666664</v>
      </c>
      <c r="Q21" s="62">
        <f t="shared" si="2"/>
        <v>6.666666666666667</v>
      </c>
      <c r="R21" s="63"/>
      <c r="S21" s="63"/>
      <c r="T21" s="64"/>
    </row>
    <row r="22" spans="2:20" s="249" customFormat="1" ht="15" customHeight="1">
      <c r="B22" s="58" t="s">
        <v>37</v>
      </c>
      <c r="C22" s="65"/>
      <c r="D22" s="60"/>
      <c r="E22" s="61"/>
      <c r="F22" s="62">
        <f>SUM($F$21:F21)</f>
        <v>6.666666666666667</v>
      </c>
      <c r="G22" s="62">
        <f>SUM($F$21:G21)</f>
        <v>23.333333333333332</v>
      </c>
      <c r="H22" s="62">
        <f>SUM($F$21:H21)</f>
        <v>30</v>
      </c>
      <c r="I22" s="62">
        <f>SUM($F$21:I21)</f>
        <v>36.666666666666664</v>
      </c>
      <c r="J22" s="62">
        <f>SUM($F$21:J21)</f>
        <v>43.333333333333329</v>
      </c>
      <c r="K22" s="62">
        <f>SUM($F$21:K21)</f>
        <v>49.999999999999993</v>
      </c>
      <c r="L22" s="62">
        <f>SUM($F$21:L21)</f>
        <v>56.666666666666657</v>
      </c>
      <c r="M22" s="62">
        <f>SUM($F$21:M21)</f>
        <v>63.333333333333321</v>
      </c>
      <c r="N22" s="62">
        <f>SUM($F$21:N21)</f>
        <v>69.999999999999986</v>
      </c>
      <c r="O22" s="62">
        <f>SUM($F$21:O21)</f>
        <v>76.666666666666657</v>
      </c>
      <c r="P22" s="62">
        <f>SUM($F$21:P21)</f>
        <v>93.333333333333314</v>
      </c>
      <c r="Q22" s="62">
        <f>SUM($F$21:Q21)</f>
        <v>99.999999999999986</v>
      </c>
      <c r="R22" s="66"/>
      <c r="S22" s="66"/>
      <c r="T22" s="64"/>
    </row>
    <row r="23" spans="2:20" s="249" customFormat="1" ht="15" customHeight="1">
      <c r="B23" s="58" t="s">
        <v>38</v>
      </c>
      <c r="C23" s="65"/>
      <c r="D23" s="60"/>
      <c r="E23" s="61"/>
      <c r="F23" s="62">
        <f>F21*$T$20/100</f>
        <v>0.82400358262427231</v>
      </c>
      <c r="G23" s="62">
        <f>G21*$T$20/100</f>
        <v>2.0600089565606803</v>
      </c>
      <c r="H23" s="62">
        <f>H21*$T$20/100</f>
        <v>0.82400358262427231</v>
      </c>
      <c r="I23" s="62">
        <f t="shared" ref="I23:Q23" si="3">I21*$T$20/100</f>
        <v>0.82400358262427231</v>
      </c>
      <c r="J23" s="62">
        <f t="shared" si="3"/>
        <v>0.82400358262427231</v>
      </c>
      <c r="K23" s="62">
        <f t="shared" si="3"/>
        <v>0.82400358262427231</v>
      </c>
      <c r="L23" s="62">
        <f t="shared" si="3"/>
        <v>0.82400358262427231</v>
      </c>
      <c r="M23" s="62">
        <f t="shared" si="3"/>
        <v>0.82400358262427231</v>
      </c>
      <c r="N23" s="62">
        <f t="shared" si="3"/>
        <v>0.82400358262427231</v>
      </c>
      <c r="O23" s="62">
        <f t="shared" si="3"/>
        <v>0.82400358262427231</v>
      </c>
      <c r="P23" s="62">
        <f t="shared" si="3"/>
        <v>2.0600089565606803</v>
      </c>
      <c r="Q23" s="62">
        <f t="shared" si="3"/>
        <v>0.82400358262427231</v>
      </c>
      <c r="R23" s="66"/>
      <c r="S23" s="66"/>
      <c r="T23" s="64"/>
    </row>
    <row r="24" spans="2:20" s="249" customFormat="1" ht="11.25" customHeight="1">
      <c r="B24" s="67"/>
      <c r="C24" s="65"/>
      <c r="D24" s="60"/>
      <c r="E24" s="61"/>
      <c r="F24" s="68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6"/>
      <c r="S24" s="66"/>
      <c r="T24" s="64"/>
    </row>
    <row r="25" spans="2:20" s="249" customFormat="1" ht="15" customHeight="1">
      <c r="B25" s="520" t="s">
        <v>186</v>
      </c>
      <c r="C25" s="51">
        <f>SUM(F25:Q25)</f>
        <v>9501</v>
      </c>
      <c r="D25" s="52" t="s">
        <v>104</v>
      </c>
      <c r="E25" s="53" t="s">
        <v>35</v>
      </c>
      <c r="F25" s="54">
        <v>1000</v>
      </c>
      <c r="G25" s="55">
        <v>1000</v>
      </c>
      <c r="H25" s="55">
        <v>1000</v>
      </c>
      <c r="I25" s="55">
        <v>1000</v>
      </c>
      <c r="J25" s="55">
        <v>400</v>
      </c>
      <c r="K25" s="55">
        <v>500</v>
      </c>
      <c r="L25" s="55">
        <v>130</v>
      </c>
      <c r="M25" s="55">
        <v>1000</v>
      </c>
      <c r="N25" s="55">
        <v>471</v>
      </c>
      <c r="O25" s="55">
        <v>1500</v>
      </c>
      <c r="P25" s="55">
        <v>1000</v>
      </c>
      <c r="Q25" s="55">
        <v>500</v>
      </c>
      <c r="R25" s="56">
        <f>[5]rka!AN21</f>
        <v>1160000</v>
      </c>
      <c r="S25" s="56"/>
      <c r="T25" s="57">
        <f>R25/$R$14*100</f>
        <v>5.1948051948051948</v>
      </c>
    </row>
    <row r="26" spans="2:20" s="249" customFormat="1" ht="15" customHeight="1">
      <c r="B26" s="58" t="s">
        <v>66</v>
      </c>
      <c r="C26" s="65"/>
      <c r="D26" s="60"/>
      <c r="E26" s="61"/>
      <c r="F26" s="62">
        <f>F25/$C$25*100</f>
        <v>10.525207872855489</v>
      </c>
      <c r="G26" s="62">
        <f>G25/$C$25*100</f>
        <v>10.525207872855489</v>
      </c>
      <c r="H26" s="62">
        <f>H25/$C$25*100</f>
        <v>10.525207872855489</v>
      </c>
      <c r="I26" s="62">
        <f>I25/$C$25*100</f>
        <v>10.525207872855489</v>
      </c>
      <c r="J26" s="62">
        <f t="shared" ref="J26:P26" si="4">J25/$C$25*100</f>
        <v>4.2100831491421955</v>
      </c>
      <c r="K26" s="62">
        <f t="shared" si="4"/>
        <v>5.2626039364277446</v>
      </c>
      <c r="L26" s="62">
        <f t="shared" si="4"/>
        <v>1.3682770234712136</v>
      </c>
      <c r="M26" s="62">
        <f t="shared" si="4"/>
        <v>10.525207872855489</v>
      </c>
      <c r="N26" s="62">
        <f t="shared" si="4"/>
        <v>4.9573729081149356</v>
      </c>
      <c r="O26" s="62">
        <f t="shared" si="4"/>
        <v>15.787811809283234</v>
      </c>
      <c r="P26" s="62">
        <f t="shared" si="4"/>
        <v>10.525207872855489</v>
      </c>
      <c r="Q26" s="62">
        <f>Q25/$C$25*100</f>
        <v>5.2626039364277446</v>
      </c>
      <c r="R26" s="63"/>
      <c r="S26" s="63"/>
      <c r="T26" s="64"/>
    </row>
    <row r="27" spans="2:20" s="249" customFormat="1" ht="15" customHeight="1">
      <c r="B27" s="58" t="s">
        <v>67</v>
      </c>
      <c r="C27" s="65"/>
      <c r="D27" s="60"/>
      <c r="E27" s="61"/>
      <c r="F27" s="62">
        <f>SUM($F$26:F26)</f>
        <v>10.525207872855489</v>
      </c>
      <c r="G27" s="62">
        <f>SUM($F$26:G26)</f>
        <v>21.050415745710978</v>
      </c>
      <c r="H27" s="62">
        <f>SUM($F$26:H26)</f>
        <v>31.575623618566468</v>
      </c>
      <c r="I27" s="62">
        <f>SUM($F$26:I26)</f>
        <v>42.100831491421957</v>
      </c>
      <c r="J27" s="62">
        <f>SUM($F$26:J26)</f>
        <v>46.31091464056415</v>
      </c>
      <c r="K27" s="62">
        <f>SUM($F$26:K26)</f>
        <v>51.573518576991894</v>
      </c>
      <c r="L27" s="62">
        <f>SUM($F$26:L26)</f>
        <v>52.941795600463109</v>
      </c>
      <c r="M27" s="62">
        <f>SUM($F$26:M26)</f>
        <v>63.467003473318599</v>
      </c>
      <c r="N27" s="62">
        <f>SUM($F$26:N26)</f>
        <v>68.424376381433532</v>
      </c>
      <c r="O27" s="62">
        <f>SUM($F$26:O26)</f>
        <v>84.212188190716773</v>
      </c>
      <c r="P27" s="62">
        <f>SUM($F$26:P26)</f>
        <v>94.737396063572263</v>
      </c>
      <c r="Q27" s="62">
        <f>SUM($F$26:Q26)</f>
        <v>100</v>
      </c>
      <c r="R27" s="66"/>
      <c r="S27" s="66"/>
      <c r="T27" s="64"/>
    </row>
    <row r="28" spans="2:20" s="249" customFormat="1" ht="15" customHeight="1">
      <c r="B28" s="58" t="s">
        <v>68</v>
      </c>
      <c r="C28" s="65"/>
      <c r="D28" s="60"/>
      <c r="E28" s="61"/>
      <c r="F28" s="62">
        <f>F26*$T$25/100</f>
        <v>0.54676404534314227</v>
      </c>
      <c r="G28" s="62">
        <f t="shared" ref="G28:O28" si="5">G26*$T$25/100</f>
        <v>0.54676404534314227</v>
      </c>
      <c r="H28" s="62">
        <f>H26*$T$25/100</f>
        <v>0.54676404534314227</v>
      </c>
      <c r="I28" s="62">
        <f t="shared" si="5"/>
        <v>0.54676404534314227</v>
      </c>
      <c r="J28" s="62">
        <f>J26*$T$25/100</f>
        <v>0.21870561813725689</v>
      </c>
      <c r="K28" s="62">
        <f t="shared" si="5"/>
        <v>0.27338202267157113</v>
      </c>
      <c r="L28" s="62">
        <f t="shared" si="5"/>
        <v>7.1079325894608497E-2</v>
      </c>
      <c r="M28" s="62">
        <f t="shared" si="5"/>
        <v>0.54676404534314227</v>
      </c>
      <c r="N28" s="62">
        <f t="shared" si="5"/>
        <v>0.25752586535662003</v>
      </c>
      <c r="O28" s="62">
        <f t="shared" si="5"/>
        <v>0.82014606801471346</v>
      </c>
      <c r="P28" s="62">
        <f>P26*$T$25/100</f>
        <v>0.54676404534314227</v>
      </c>
      <c r="Q28" s="62">
        <f>Q26*$T$25/100</f>
        <v>0.27338202267157113</v>
      </c>
      <c r="R28" s="66"/>
      <c r="S28" s="66"/>
      <c r="T28" s="64"/>
    </row>
    <row r="29" spans="2:20" s="249" customFormat="1" ht="15" customHeight="1">
      <c r="B29" s="574"/>
      <c r="C29" s="575"/>
      <c r="D29" s="538"/>
      <c r="E29" s="528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31"/>
      <c r="S29" s="531"/>
      <c r="T29" s="577"/>
    </row>
    <row r="30" spans="2:20" s="249" customFormat="1" ht="15" customHeight="1">
      <c r="B30" s="58" t="s">
        <v>187</v>
      </c>
      <c r="C30" s="65">
        <v>1500</v>
      </c>
      <c r="D30" s="60" t="s">
        <v>188</v>
      </c>
      <c r="E30" s="61" t="s">
        <v>189</v>
      </c>
      <c r="F30" s="578"/>
      <c r="G30" s="578"/>
      <c r="H30" s="578">
        <v>500</v>
      </c>
      <c r="I30" s="578"/>
      <c r="J30" s="578"/>
      <c r="K30" s="578">
        <v>500</v>
      </c>
      <c r="L30" s="578"/>
      <c r="M30" s="578"/>
      <c r="N30" s="578">
        <v>500</v>
      </c>
      <c r="O30" s="578"/>
      <c r="P30" s="578"/>
      <c r="Q30" s="578"/>
      <c r="R30" s="579">
        <f>[5]rka!AN22</f>
        <v>17250000</v>
      </c>
      <c r="S30" s="579"/>
      <c r="T30" s="99">
        <f>R30/$R$14*100</f>
        <v>77.250335871025527</v>
      </c>
    </row>
    <row r="31" spans="2:20" s="249" customFormat="1" ht="15" customHeight="1">
      <c r="B31" s="58" t="s">
        <v>66</v>
      </c>
      <c r="C31" s="65"/>
      <c r="D31" s="60"/>
      <c r="E31" s="61"/>
      <c r="F31" s="580"/>
      <c r="G31" s="580"/>
      <c r="H31" s="580">
        <f>H30/$C$30*100</f>
        <v>33.333333333333329</v>
      </c>
      <c r="I31" s="580"/>
      <c r="J31" s="580"/>
      <c r="K31" s="580">
        <f>K30/$C$30*100</f>
        <v>33.333333333333329</v>
      </c>
      <c r="L31" s="580"/>
      <c r="M31" s="580"/>
      <c r="N31" s="580">
        <f>N30/$C$30*100</f>
        <v>33.333333333333329</v>
      </c>
      <c r="O31" s="580"/>
      <c r="P31" s="580"/>
      <c r="Q31" s="580"/>
      <c r="R31" s="98"/>
      <c r="S31" s="98"/>
      <c r="T31" s="99"/>
    </row>
    <row r="32" spans="2:20" s="249" customFormat="1" ht="15" customHeight="1">
      <c r="B32" s="58" t="s">
        <v>67</v>
      </c>
      <c r="C32" s="65"/>
      <c r="D32" s="60"/>
      <c r="E32" s="61"/>
      <c r="F32" s="580"/>
      <c r="G32" s="580"/>
      <c r="H32" s="580">
        <f>SUM($F$31:H31)</f>
        <v>33.333333333333329</v>
      </c>
      <c r="I32" s="580"/>
      <c r="J32" s="580"/>
      <c r="K32" s="580">
        <f>SUM($F$31:K31)</f>
        <v>66.666666666666657</v>
      </c>
      <c r="L32" s="580"/>
      <c r="M32" s="580"/>
      <c r="N32" s="580">
        <f>SUM($F$31:N31)</f>
        <v>99.999999999999986</v>
      </c>
      <c r="O32" s="580"/>
      <c r="P32" s="580"/>
      <c r="Q32" s="580"/>
      <c r="R32" s="98"/>
      <c r="S32" s="98"/>
      <c r="T32" s="99"/>
    </row>
    <row r="33" spans="2:20" s="249" customFormat="1" ht="15" customHeight="1">
      <c r="B33" s="58" t="s">
        <v>68</v>
      </c>
      <c r="C33" s="65"/>
      <c r="D33" s="60"/>
      <c r="E33" s="61"/>
      <c r="F33" s="580"/>
      <c r="G33" s="580"/>
      <c r="H33" s="580">
        <f>H31*$T$30/100</f>
        <v>25.750111957008507</v>
      </c>
      <c r="I33" s="580"/>
      <c r="J33" s="580"/>
      <c r="K33" s="580">
        <f>K31*$T$30/100</f>
        <v>25.750111957008507</v>
      </c>
      <c r="L33" s="580"/>
      <c r="M33" s="580"/>
      <c r="N33" s="580">
        <f>N31*$T$30/100</f>
        <v>25.750111957008507</v>
      </c>
      <c r="O33" s="580"/>
      <c r="P33" s="580"/>
      <c r="Q33" s="580"/>
      <c r="R33" s="98"/>
      <c r="S33" s="98"/>
      <c r="T33" s="99"/>
    </row>
    <row r="34" spans="2:20" s="249" customFormat="1" ht="14.25" customHeight="1">
      <c r="B34" s="67"/>
      <c r="C34" s="65"/>
      <c r="D34" s="60"/>
      <c r="E34" s="61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8"/>
      <c r="S34" s="98"/>
      <c r="T34" s="99"/>
    </row>
    <row r="35" spans="2:20" s="266" customFormat="1" ht="18" customHeight="1" thickBot="1">
      <c r="B35" s="70" t="s">
        <v>41</v>
      </c>
      <c r="C35" s="71"/>
      <c r="D35" s="72"/>
      <c r="E35" s="73"/>
      <c r="F35" s="74">
        <f t="shared" ref="F35:Q35" si="6">SUM(F28+F23+F18+F33)</f>
        <v>1.8036680608678475</v>
      </c>
      <c r="G35" s="74">
        <f t="shared" si="6"/>
        <v>3.0396734348042553</v>
      </c>
      <c r="H35" s="74">
        <f t="shared" si="6"/>
        <v>27.553780017876353</v>
      </c>
      <c r="I35" s="74">
        <f t="shared" si="6"/>
        <v>1.8036680608678475</v>
      </c>
      <c r="J35" s="74">
        <f t="shared" si="6"/>
        <v>1.4756096336619622</v>
      </c>
      <c r="K35" s="74">
        <f t="shared" si="6"/>
        <v>27.280397995204783</v>
      </c>
      <c r="L35" s="74">
        <f t="shared" si="6"/>
        <v>1.3279833414193136</v>
      </c>
      <c r="M35" s="74">
        <f t="shared" si="6"/>
        <v>1.8036680608678475</v>
      </c>
      <c r="N35" s="74">
        <f t="shared" si="6"/>
        <v>27.264541837889833</v>
      </c>
      <c r="O35" s="74">
        <f t="shared" si="6"/>
        <v>2.0770500835394188</v>
      </c>
      <c r="P35" s="74">
        <f t="shared" si="6"/>
        <v>3.0396734348042553</v>
      </c>
      <c r="Q35" s="74">
        <f t="shared" si="6"/>
        <v>1.5302860381962764</v>
      </c>
      <c r="R35" s="75"/>
      <c r="S35" s="75"/>
      <c r="T35" s="76"/>
    </row>
    <row r="36" spans="2:20" s="266" customFormat="1" ht="18" customHeight="1" thickTop="1" thickBot="1">
      <c r="B36" s="78" t="s">
        <v>42</v>
      </c>
      <c r="C36" s="79"/>
      <c r="D36" s="79"/>
      <c r="E36" s="80"/>
      <c r="F36" s="81">
        <f>SUM(F35)</f>
        <v>1.8036680608678475</v>
      </c>
      <c r="G36" s="81">
        <f>SUM(F35:G35)</f>
        <v>4.843341495672103</v>
      </c>
      <c r="H36" s="81">
        <f>SUM(F35:H35)</f>
        <v>32.397121513548456</v>
      </c>
      <c r="I36" s="81">
        <f>SUM(F35:I35)</f>
        <v>34.200789574416305</v>
      </c>
      <c r="J36" s="81">
        <f>SUM(F35:J35)</f>
        <v>35.676399208078266</v>
      </c>
      <c r="K36" s="81">
        <f>SUM(F35:K35)</f>
        <v>62.956797203283045</v>
      </c>
      <c r="L36" s="81">
        <f>SUM(F35:L35)</f>
        <v>64.284780544702357</v>
      </c>
      <c r="M36" s="81">
        <f>SUM(F35:M35)</f>
        <v>66.088448605570207</v>
      </c>
      <c r="N36" s="81">
        <f>SUM(F35:N35)</f>
        <v>93.352990443460044</v>
      </c>
      <c r="O36" s="81">
        <f>SUM(F35:O35)</f>
        <v>95.430040526999463</v>
      </c>
      <c r="P36" s="81">
        <f>SUM(F35:P35)</f>
        <v>98.46971396180372</v>
      </c>
      <c r="Q36" s="81">
        <f>SUM(F35:Q35)</f>
        <v>100</v>
      </c>
      <c r="R36" s="80"/>
      <c r="S36" s="80"/>
      <c r="T36" s="82"/>
    </row>
    <row r="37" spans="2:20" ht="6.75" customHeight="1">
      <c r="B37" s="83"/>
      <c r="C37" s="84"/>
      <c r="D37" s="84"/>
      <c r="E37" s="84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6"/>
      <c r="R37" s="84"/>
      <c r="S37" s="84"/>
      <c r="T37" s="87"/>
    </row>
    <row r="38" spans="2:20" s="249" customFormat="1" ht="14.25" customHeight="1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9" t="s">
        <v>43</v>
      </c>
    </row>
    <row r="39" spans="2:20" s="249" customFormat="1" ht="13.5" customHeight="1">
      <c r="C39" s="90" t="s">
        <v>44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88"/>
      <c r="T39" s="90"/>
    </row>
    <row r="40" spans="2:20" s="249" customFormat="1" ht="15">
      <c r="C40" s="90" t="s">
        <v>190</v>
      </c>
      <c r="D40" s="90"/>
      <c r="E40" s="90"/>
      <c r="F40" s="90"/>
      <c r="G40" s="90"/>
      <c r="H40" s="90"/>
      <c r="I40" s="90"/>
      <c r="J40" s="90"/>
      <c r="K40" s="92"/>
      <c r="L40" s="90"/>
      <c r="M40" s="90"/>
      <c r="N40" s="90"/>
      <c r="O40" s="90"/>
      <c r="P40" s="90"/>
      <c r="Q40" s="90" t="s">
        <v>46</v>
      </c>
    </row>
    <row r="41" spans="2:20" s="249" customFormat="1" ht="13.5" customHeight="1">
      <c r="C41" s="90" t="s">
        <v>191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88"/>
      <c r="T41" s="90"/>
    </row>
    <row r="42" spans="2:20" s="249" customFormat="1" ht="9" customHeight="1"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88"/>
      <c r="T42" s="90"/>
    </row>
    <row r="43" spans="2:20" s="249" customFormat="1" ht="9.75" customHeight="1"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88"/>
      <c r="T43" s="90"/>
    </row>
    <row r="44" spans="2:20" s="249" customFormat="1" ht="15">
      <c r="C44" s="94" t="s">
        <v>192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 t="s">
        <v>193</v>
      </c>
    </row>
    <row r="45" spans="2:20" s="249" customFormat="1" ht="15">
      <c r="C45" s="90" t="s">
        <v>49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 t="s">
        <v>194</v>
      </c>
    </row>
    <row r="46" spans="2:20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95"/>
      <c r="S46" s="95"/>
      <c r="T46" s="8"/>
    </row>
  </sheetData>
  <mergeCells count="16">
    <mergeCell ref="I9:K9"/>
    <mergeCell ref="L9:N9"/>
    <mergeCell ref="O9:Q9"/>
    <mergeCell ref="T9:T10"/>
    <mergeCell ref="C12:D12"/>
    <mergeCell ref="C35:D35"/>
    <mergeCell ref="B1:T1"/>
    <mergeCell ref="B2:T2"/>
    <mergeCell ref="D6:F6"/>
    <mergeCell ref="B8:B11"/>
    <mergeCell ref="C8:D11"/>
    <mergeCell ref="E8:E11"/>
    <mergeCell ref="F8:Q8"/>
    <mergeCell ref="R8:R10"/>
    <mergeCell ref="S8:S10"/>
    <mergeCell ref="F9:H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</vt:i4>
      </vt:variant>
    </vt:vector>
  </HeadingPairs>
  <TitlesOfParts>
    <vt:vector size="26" baseType="lpstr">
      <vt:lpstr>rakord</vt:lpstr>
      <vt:lpstr>dokren</vt:lpstr>
      <vt:lpstr>alatktr</vt:lpstr>
      <vt:lpstr>bangunan</vt:lpstr>
      <vt:lpstr>kendaraan</vt:lpstr>
      <vt:lpstr>bimtek</vt:lpstr>
      <vt:lpstr>rekrut</vt:lpstr>
      <vt:lpstr>karir</vt:lpstr>
      <vt:lpstr>data</vt:lpstr>
      <vt:lpstr>ac</vt:lpstr>
      <vt:lpstr>tatausaha</vt:lpstr>
      <vt:lpstr>kesra</vt:lpstr>
      <vt:lpstr>mutasi</vt:lpstr>
      <vt:lpstr>diklat</vt:lpstr>
      <vt:lpstr>ppd</vt:lpstr>
      <vt:lpstr>akd</vt:lpstr>
      <vt:lpstr>alatktr!Print_Area</vt:lpstr>
      <vt:lpstr>dokren!Print_Area</vt:lpstr>
      <vt:lpstr>kendaraan!Print_Area</vt:lpstr>
      <vt:lpstr>kesra!Print_Area</vt:lpstr>
      <vt:lpstr>rekrut!Print_Area</vt:lpstr>
      <vt:lpstr>alatktr!Print_Titles</vt:lpstr>
      <vt:lpstr>diklat!Print_Titles</vt:lpstr>
      <vt:lpstr>kendaraan!Print_Titles</vt:lpstr>
      <vt:lpstr>kesra!Print_Titles</vt:lpstr>
      <vt:lpstr>rakord!Print_Titles</vt:lpstr>
    </vt:vector>
  </TitlesOfParts>
  <Company>BKPP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2019-04-16T01:51:23Z</dcterms:created>
  <dcterms:modified xsi:type="dcterms:W3CDTF">2019-04-16T02:19:21Z</dcterms:modified>
</cp:coreProperties>
</file>